
<file path=[Content_Types].xml><?xml version="1.0" encoding="utf-8"?>
<Types xmlns="http://schemas.openxmlformats.org/package/2006/content-types">
  <Default Extension="bin" ContentType="application/vnd.openxmlformats-officedocument.spreadsheetml.printerSettings"/>
  <Default Extension="gif" ContentType="image/gif"/>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drawings/drawing2.xml" ContentType="application/vnd.openxmlformats-officedocument.drawing+xml"/>
  <Override PartName="/xl/charts/chart7.xml" ContentType="application/vnd.openxmlformats-officedocument.drawingml.chart+xml"/>
  <Override PartName="/xl/charts/style5.xml" ContentType="application/vnd.ms-office.chartstyle+xml"/>
  <Override PartName="/xl/charts/colors5.xml" ContentType="application/vnd.ms-office.chartcolorstyle+xml"/>
  <Override PartName="/xl/charts/chart8.xml" ContentType="application/vnd.openxmlformats-officedocument.drawingml.chart+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harts/chart9.xml" ContentType="application/vnd.openxmlformats-officedocument.drawingml.chart+xml"/>
  <Override PartName="/xl/charts/style6.xml" ContentType="application/vnd.ms-office.chartstyle+xml"/>
  <Override PartName="/xl/charts/colors6.xml" ContentType="application/vnd.ms-office.chartcolorsty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mc:AlternateContent xmlns:mc="http://schemas.openxmlformats.org/markup-compatibility/2006">
    <mc:Choice Requires="x15">
      <x15ac:absPath xmlns:x15ac="http://schemas.microsoft.com/office/spreadsheetml/2010/11/ac" url="C:\Users\49131\Desktop\"/>
    </mc:Choice>
  </mc:AlternateContent>
  <xr:revisionPtr revIDLastSave="0" documentId="13_ncr:1_{51AF618D-89A8-4645-AAD7-923A5A59049B}" xr6:coauthVersionLast="47" xr6:coauthVersionMax="47" xr10:uidLastSave="{00000000-0000-0000-0000-000000000000}"/>
  <workbookProtection workbookAlgorithmName="SHA-512" workbookHashValue="YEPTiKrHPjMwXKqcYNEhscsesWQoOM4LA1/tIqN3vIhw04Vx6whm5KcGI07KznDB1SR0BbKlR7mQvBQU/FmDrA==" workbookSaltValue="Ski0x9KJOUwjFzDyGv/Jdw==" workbookSpinCount="100000" lockStructure="1"/>
  <bookViews>
    <workbookView xWindow="-108" yWindow="-108" windowWidth="30936" windowHeight="18696" activeTab="3" xr2:uid="{00000000-000D-0000-FFFF-FFFF00000000}"/>
  </bookViews>
  <sheets>
    <sheet name="家庭概览" sheetId="6" r:id="rId1"/>
    <sheet name="个人信息" sheetId="4" r:id="rId2"/>
    <sheet name="到期提醒" sheetId="2" r:id="rId3"/>
    <sheet name="保单录入" sheetId="1" r:id="rId4"/>
  </sheets>
  <definedNames>
    <definedName name="_xlnm._FilterDatabase" localSheetId="3" hidden="1">保单录入!$A$2:$R$29</definedName>
    <definedName name="DIY标签">#REF!</definedName>
    <definedName name="_xlnm.Print_Area" localSheetId="2">到期提醒!$A$1:$N$24</definedName>
    <definedName name="_xlnm.Print_Area" localSheetId="1">个人信息!$A$1:$R$29</definedName>
    <definedName name="_xlnm.Print_Area" localSheetId="0">家庭概览!$A$1:$M$36</definedName>
    <definedName name="保证领取">OFFSET(个人信息!$AH$24,,,COUNTA(个人信息!$AG$24:$AG$36),1)</definedName>
    <definedName name="定期寿险" localSheetId="0">OFFSET(家庭概览!$AD$11,,,家庭概览!$S$2,1)</definedName>
    <definedName name="工作标签">#REF!</definedName>
    <definedName name="工作方法">#REF!</definedName>
    <definedName name="过往名称">OFFSET(#REF!,,,COUNT(#REF!),)</definedName>
    <definedName name="矩形X">OFFSET(#REF!,,,COUNT(#REF!),)</definedName>
    <definedName name="矩形Y">OFFSET(#REF!,,,COUNT(#REF!),)</definedName>
    <definedName name="来源标签">#REF!</definedName>
    <definedName name="理财本金" localSheetId="0">OFFSET(家庭概览!$AG$11,,,家庭概览!$S$2,1)</definedName>
    <definedName name="理财姓名" localSheetId="0">OFFSET(家庭概览!$AF$11,,,家庭概览!$S$2,1)</definedName>
    <definedName name="领取年龄" localSheetId="1">OFFSET(个人信息!$AG$24,,,COUNTA(个人信息!$AG$24:$AG$36),1)</definedName>
    <definedName name="模糊保单">保单录入!$AC$3:INDEX(保单录入!$AC$3:$AC$10000,COUNTA(_xlfn.ANCHORARRAY(保单录入!$AC$3)))</definedName>
    <definedName name="认知标签">#REF!</definedName>
    <definedName name="生活标签">#REF!</definedName>
    <definedName name="寿险总和" localSheetId="0">OFFSET(家庭概览!$AE$11,,,家庭概览!$S$2,1)</definedName>
    <definedName name="体系1">#REF!</definedName>
    <definedName name="体系2">#REF!</definedName>
    <definedName name="体系3">#REF!</definedName>
    <definedName name="体系4">#REF!</definedName>
    <definedName name="体系5">#REF!</definedName>
    <definedName name="唯一家庭">保单录入!$AU$3:$AU$2024</definedName>
    <definedName name="唯一姓名">#REF!</definedName>
    <definedName name="姓名" localSheetId="0">OFFSET(家庭概览!$W$11,,,家庭概览!$S$2,1)</definedName>
    <definedName name="医疗报销" localSheetId="0">OFFSET(家庭概览!$AK$11,,,家庭概览!$S$2,1)</definedName>
    <definedName name="意外伤害" localSheetId="0">OFFSET(家庭概览!$Y$11,,,家庭概览!$S$2,1)</definedName>
    <definedName name="意外医疗" localSheetId="0">OFFSET(家庭概览!$X$11,,,家庭概览!$S$2,1)</definedName>
    <definedName name="预期领取" localSheetId="1">OFFSET(个人信息!$AI$24,,,COUNTA(个人信息!$AG$24:$AG$36),1)</definedName>
    <definedName name="责任金额" localSheetId="1">OFFSET(个人信息!$Z$24,,,COUNTA(个人信息!$Y$24:$Y$36),1)</definedName>
    <definedName name="责任名称" localSheetId="1">OFFSET(个人信息!$Y$24,,,COUNTA(个人信息!$Y$24:$Y$36),1)</definedName>
    <definedName name="终身寿险" localSheetId="0">OFFSET(家庭概览!$AC$11,,,家庭概览!$S$2,1)</definedName>
    <definedName name="重大疾病" localSheetId="0">OFFSET(家庭概览!$AA$11,,,家庭概览!$S$2,1)</definedName>
  </definedNames>
  <calcPr calcId="191028" iterate="1" iterateCount="10000" iterateDelta="1.0000000000000001E-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3" i="1" l="1" a="1"/>
  <c r="AD3" i="1" s="1"/>
  <c r="AC3" i="1" a="1"/>
  <c r="AC3" i="1" s="1"/>
  <c r="AG3" i="1" a="1"/>
  <c r="AG3" i="1" s="1"/>
  <c r="AI1" i="1" l="1"/>
  <c r="AE3" i="1" a="1"/>
  <c r="AE3" i="1" s="1"/>
  <c r="AK33" i="4" a="1"/>
  <c r="AK33" i="4"/>
  <c r="AK32" i="4" a="1"/>
  <c r="AK32" i="4" s="1"/>
  <c r="AK31" i="4" a="1"/>
  <c r="AK31" i="4" s="1"/>
  <c r="AK30" i="4" a="1"/>
  <c r="AK30" i="4"/>
  <c r="AK29" i="4" a="1"/>
  <c r="AK29" i="4" s="1"/>
  <c r="AK28" i="4" a="1"/>
  <c r="AK28" i="4" s="1"/>
  <c r="AK27" i="4" a="1"/>
  <c r="AK27" i="4" s="1"/>
  <c r="AK26" i="4" a="1"/>
  <c r="AK26" i="4"/>
  <c r="AO3" i="1" a="1"/>
  <c r="AO3" i="1" s="1"/>
  <c r="AP3" i="1" s="1" a="1"/>
  <c r="AP3" i="1" s="1"/>
  <c r="AN3" i="1" s="1" a="1"/>
  <c r="AN3" i="1" s="1"/>
  <c r="L4" i="2" s="1" a="1"/>
  <c r="L4" i="2" s="1"/>
  <c r="AL3" i="1" a="1"/>
  <c r="AL3" i="1" s="1"/>
  <c r="AK3" i="1" a="1"/>
  <c r="AK3" i="1" s="1"/>
  <c r="AJ3" i="1" a="1"/>
  <c r="AJ3" i="1" s="1"/>
  <c r="AI3" i="1" a="1"/>
  <c r="AI3" i="1" s="1"/>
  <c r="AH3" i="1" a="1"/>
  <c r="AK15" i="6"/>
  <c r="AK16" i="6"/>
  <c r="AK17" i="6"/>
  <c r="AK18" i="6"/>
  <c r="AK19" i="6"/>
  <c r="AD15" i="6"/>
  <c r="AE15" i="6" s="1"/>
  <c r="AD16" i="6"/>
  <c r="AE16" i="6" s="1"/>
  <c r="AD17" i="6"/>
  <c r="AE17" i="6" s="1"/>
  <c r="AD18" i="6"/>
  <c r="AE18" i="6" s="1"/>
  <c r="AD19" i="6"/>
  <c r="AE19" i="6" s="1"/>
  <c r="AC15" i="6"/>
  <c r="AC16" i="6"/>
  <c r="AC17" i="6"/>
  <c r="AC18" i="6"/>
  <c r="AC19" i="6"/>
  <c r="AA15" i="6"/>
  <c r="AA16" i="6"/>
  <c r="AA17" i="6"/>
  <c r="AA18" i="6"/>
  <c r="AA19" i="6"/>
  <c r="Y15" i="6"/>
  <c r="Y16" i="6"/>
  <c r="Y17" i="6"/>
  <c r="Y18" i="6"/>
  <c r="Y19" i="6"/>
  <c r="X15" i="6"/>
  <c r="X16" i="6"/>
  <c r="X17" i="6"/>
  <c r="X18" i="6"/>
  <c r="X19" i="6"/>
  <c r="S6" i="6"/>
  <c r="O2" i="6" s="1" a="1"/>
  <c r="O2" i="6" s="1"/>
  <c r="P2" i="6" s="1" a="1"/>
  <c r="AB14" i="6" s="1"/>
  <c r="AU3" i="1" a="1"/>
  <c r="AU3" i="1" s="1"/>
  <c r="AA1" i="4" a="1"/>
  <c r="AA1" i="4" s="1"/>
  <c r="AA2" i="4" a="1"/>
  <c r="AA2" i="4" s="1"/>
  <c r="AJ1" i="1"/>
  <c r="AK1" i="1"/>
  <c r="AM1" i="1" s="1"/>
  <c r="AL1" i="1"/>
  <c r="T13" i="6"/>
  <c r="AB4" i="4"/>
  <c r="V13" i="4"/>
  <c r="V15" i="4" s="1"/>
  <c r="AJ16" i="6"/>
  <c r="AJ17" i="6"/>
  <c r="AJ18" i="6"/>
  <c r="AJ19" i="6"/>
  <c r="Z16" i="6"/>
  <c r="Z17" i="6"/>
  <c r="Z18" i="6"/>
  <c r="Z19" i="6"/>
  <c r="W17" i="6"/>
  <c r="AB17" i="6"/>
  <c r="W18" i="6"/>
  <c r="AB18" i="6"/>
  <c r="W19" i="6"/>
  <c r="AB19" i="6"/>
  <c r="AT4" i="1"/>
  <c r="AT2" i="1"/>
  <c r="AT3" i="1"/>
  <c r="S100" i="6"/>
  <c r="S99" i="6"/>
  <c r="S98" i="6"/>
  <c r="S97" i="6"/>
  <c r="S96" i="6"/>
  <c r="S95" i="6"/>
  <c r="S94" i="6"/>
  <c r="S93" i="6"/>
  <c r="S92" i="6"/>
  <c r="S91" i="6"/>
  <c r="S90" i="6"/>
  <c r="S89" i="6"/>
  <c r="S88" i="6"/>
  <c r="S87" i="6"/>
  <c r="S86" i="6"/>
  <c r="S85" i="6"/>
  <c r="S84" i="6"/>
  <c r="S83" i="6"/>
  <c r="S82" i="6"/>
  <c r="S81" i="6"/>
  <c r="S80" i="6"/>
  <c r="S79" i="6"/>
  <c r="S78" i="6"/>
  <c r="S77" i="6"/>
  <c r="S76" i="6"/>
  <c r="S75" i="6"/>
  <c r="S74" i="6"/>
  <c r="S73" i="6"/>
  <c r="S72" i="6"/>
  <c r="S71" i="6"/>
  <c r="S70" i="6"/>
  <c r="S69" i="6"/>
  <c r="S68" i="6"/>
  <c r="S67" i="6"/>
  <c r="S66" i="6"/>
  <c r="S65" i="6"/>
  <c r="S64" i="6"/>
  <c r="S63" i="6"/>
  <c r="S62" i="6"/>
  <c r="S61" i="6"/>
  <c r="S60" i="6"/>
  <c r="S59" i="6"/>
  <c r="S58" i="6"/>
  <c r="S57" i="6"/>
  <c r="S56" i="6"/>
  <c r="S55" i="6"/>
  <c r="S54" i="6"/>
  <c r="S53" i="6"/>
  <c r="S52" i="6"/>
  <c r="S51" i="6"/>
  <c r="S50" i="6"/>
  <c r="S49" i="6"/>
  <c r="S48" i="6"/>
  <c r="S47" i="6"/>
  <c r="S46" i="6"/>
  <c r="S45" i="6"/>
  <c r="S44" i="6"/>
  <c r="S43" i="6"/>
  <c r="S42" i="6"/>
  <c r="S41" i="6"/>
  <c r="S40" i="6"/>
  <c r="C32" i="6"/>
  <c r="B32" i="6"/>
  <c r="C31" i="6"/>
  <c r="C30" i="6"/>
  <c r="C29" i="6"/>
  <c r="C28" i="6"/>
  <c r="C27" i="6"/>
  <c r="C26" i="6"/>
  <c r="C25" i="6"/>
  <c r="C24" i="6"/>
  <c r="C23" i="6"/>
  <c r="C22" i="6"/>
  <c r="C21" i="6"/>
  <c r="C20" i="6"/>
  <c r="C19" i="6"/>
  <c r="C18" i="6"/>
  <c r="C17" i="6"/>
  <c r="C16" i="6"/>
  <c r="C15" i="6"/>
  <c r="R10" i="6"/>
  <c r="R6" i="6"/>
  <c r="R9" i="6"/>
  <c r="R8" i="6"/>
  <c r="R7" i="6"/>
  <c r="W16" i="6"/>
  <c r="AB16" i="6"/>
  <c r="S35" i="6"/>
  <c r="S36" i="6"/>
  <c r="S39" i="6"/>
  <c r="S38" i="6"/>
  <c r="S37" i="6"/>
  <c r="AB15" i="6"/>
  <c r="W15" i="6"/>
  <c r="V5" i="4"/>
  <c r="AJ15" i="6"/>
  <c r="Z15" i="6"/>
  <c r="S34" i="6"/>
  <c r="S33" i="6"/>
  <c r="R5" i="6"/>
  <c r="S31" i="6"/>
  <c r="S29" i="6"/>
  <c r="S30" i="6"/>
  <c r="S32" i="6"/>
  <c r="V21" i="4"/>
  <c r="V4" i="4" l="1"/>
  <c r="Z14" i="6"/>
  <c r="W14" i="6"/>
  <c r="AC14" i="6" s="1"/>
  <c r="AJ14" i="6"/>
  <c r="Q18" i="6" a="1"/>
  <c r="S20" i="6" s="1"/>
  <c r="V14" i="4"/>
  <c r="V23" i="4"/>
  <c r="V27" i="4"/>
  <c r="V20" i="4"/>
  <c r="M20" i="4" s="1"/>
  <c r="V17" i="4"/>
  <c r="E17" i="4" s="1"/>
  <c r="V26" i="4"/>
  <c r="J26" i="4" s="1"/>
  <c r="V24" i="4"/>
  <c r="F24" i="4" s="1"/>
  <c r="V22" i="4"/>
  <c r="I22" i="4" s="1"/>
  <c r="V18" i="4"/>
  <c r="F18" i="4" s="1"/>
  <c r="V16" i="4"/>
  <c r="I16" i="4" s="1"/>
  <c r="V25" i="4"/>
  <c r="H25" i="4" s="1"/>
  <c r="V28" i="4"/>
  <c r="F28" i="4" s="1"/>
  <c r="V19" i="4"/>
  <c r="M19" i="4" s="1"/>
  <c r="X21" i="4"/>
  <c r="O4" i="2" a="1"/>
  <c r="O4" i="2" s="1"/>
  <c r="X4" i="2" s="1"/>
  <c r="Y4" i="2" s="1"/>
  <c r="AM3" i="1" a="1"/>
  <c r="AM3" i="1" s="1"/>
  <c r="AF3" i="1" s="1" a="1"/>
  <c r="AF3" i="1" s="1"/>
  <c r="AG18" i="6"/>
  <c r="AF18" i="6" s="1"/>
  <c r="AG14" i="6"/>
  <c r="AF14" i="6" s="1"/>
  <c r="AG19" i="6"/>
  <c r="AF19" i="6" s="1"/>
  <c r="AG17" i="6"/>
  <c r="AF17" i="6" s="1"/>
  <c r="AG15" i="6"/>
  <c r="AF15" i="6" s="1"/>
  <c r="AG16" i="6"/>
  <c r="AF16" i="6" s="1"/>
  <c r="AH3" i="1"/>
  <c r="AB2" i="4"/>
  <c r="V3" i="4"/>
  <c r="AB12" i="6"/>
  <c r="AJ12" i="6"/>
  <c r="W13" i="6"/>
  <c r="Z13" i="6"/>
  <c r="V2" i="4"/>
  <c r="AJ13" i="6"/>
  <c r="AB13" i="6"/>
  <c r="W12" i="6"/>
  <c r="P2" i="6"/>
  <c r="Z12" i="6"/>
  <c r="H24" i="4"/>
  <c r="L17" i="4"/>
  <c r="K18" i="4"/>
  <c r="L24" i="4"/>
  <c r="E19" i="4"/>
  <c r="H20" i="4"/>
  <c r="F16" i="4"/>
  <c r="E18" i="4"/>
  <c r="G24" i="4"/>
  <c r="M21" i="4"/>
  <c r="F20" i="4"/>
  <c r="L22" i="4"/>
  <c r="G18" i="4"/>
  <c r="K21" i="4"/>
  <c r="M24" i="4"/>
  <c r="K20" i="4"/>
  <c r="L20" i="4"/>
  <c r="G22" i="4"/>
  <c r="E22" i="4"/>
  <c r="D22" i="4" s="1"/>
  <c r="K24" i="4"/>
  <c r="G20" i="4"/>
  <c r="E21" i="4"/>
  <c r="F21" i="4"/>
  <c r="G14" i="4"/>
  <c r="J24" i="4"/>
  <c r="M22" i="4"/>
  <c r="H21" i="4"/>
  <c r="F17" i="4"/>
  <c r="H27" i="4"/>
  <c r="K22" i="4"/>
  <c r="I21" i="4"/>
  <c r="J28" i="4"/>
  <c r="G21" i="4"/>
  <c r="K19" i="4"/>
  <c r="G27" i="4"/>
  <c r="I17" i="4"/>
  <c r="E16" i="4"/>
  <c r="G28" i="4"/>
  <c r="M16" i="4"/>
  <c r="K17" i="4"/>
  <c r="J27" i="4"/>
  <c r="G23" i="4"/>
  <c r="H17" i="4"/>
  <c r="M27" i="4"/>
  <c r="K23" i="4"/>
  <c r="H15" i="4"/>
  <c r="G17" i="4"/>
  <c r="I27" i="4"/>
  <c r="I23" i="4"/>
  <c r="K15" i="4"/>
  <c r="H22" i="4"/>
  <c r="E14" i="4"/>
  <c r="D14" i="4" s="1"/>
  <c r="J25" i="4"/>
  <c r="H23" i="4"/>
  <c r="I15" i="4"/>
  <c r="E28" i="4"/>
  <c r="D28" i="4" s="1"/>
  <c r="K14" i="4"/>
  <c r="I25" i="4"/>
  <c r="M23" i="4"/>
  <c r="F15" i="4"/>
  <c r="J23" i="4"/>
  <c r="L15" i="4"/>
  <c r="L21" i="4"/>
  <c r="M17" i="4"/>
  <c r="J22" i="4"/>
  <c r="X25" i="4"/>
  <c r="E23" i="4"/>
  <c r="D23" i="4" s="1"/>
  <c r="F19" i="4"/>
  <c r="I14" i="4"/>
  <c r="H19" i="4"/>
  <c r="X24" i="4"/>
  <c r="F22" i="4"/>
  <c r="H16" i="4"/>
  <c r="K27" i="4"/>
  <c r="H14" i="4"/>
  <c r="X23" i="4"/>
  <c r="L23" i="4"/>
  <c r="M15" i="4"/>
  <c r="F14" i="4"/>
  <c r="X27" i="4"/>
  <c r="F23" i="4"/>
  <c r="G15" i="4"/>
  <c r="M14" i="4"/>
  <c r="F25" i="4"/>
  <c r="M25" i="4"/>
  <c r="E26" i="4"/>
  <c r="D26" i="4" s="1"/>
  <c r="X26" i="4"/>
  <c r="E15" i="4"/>
  <c r="L14" i="4"/>
  <c r="F26" i="4"/>
  <c r="L26" i="4"/>
  <c r="E25" i="4"/>
  <c r="D25" i="4" s="1"/>
  <c r="I20" i="4"/>
  <c r="L19" i="4"/>
  <c r="E20" i="4"/>
  <c r="E27" i="4"/>
  <c r="D27" i="4" s="1"/>
  <c r="H26" i="4"/>
  <c r="AB3" i="4"/>
  <c r="J15" i="4"/>
  <c r="J14" i="4"/>
  <c r="J21" i="4"/>
  <c r="J16" i="4"/>
  <c r="J19" i="4"/>
  <c r="J20" i="4"/>
  <c r="G26" i="4"/>
  <c r="L25" i="4"/>
  <c r="L18" i="4"/>
  <c r="J17" i="4"/>
  <c r="X14" i="4"/>
  <c r="X15" i="4"/>
  <c r="M26" i="4"/>
  <c r="AR3" i="1" a="1"/>
  <c r="AR3" i="1" s="1"/>
  <c r="X20" i="4"/>
  <c r="I24" i="4"/>
  <c r="X22" i="4"/>
  <c r="L27" i="4"/>
  <c r="F27" i="4"/>
  <c r="AA14" i="6" l="1"/>
  <c r="AK14" i="6"/>
  <c r="Y14" i="6"/>
  <c r="X14" i="6"/>
  <c r="AD14" i="6"/>
  <c r="AE14" i="6" s="1"/>
  <c r="B4" i="2" a="1"/>
  <c r="B4" i="2" s="1"/>
  <c r="S28" i="6"/>
  <c r="S27" i="6"/>
  <c r="S19" i="6"/>
  <c r="S23" i="6"/>
  <c r="S22" i="6"/>
  <c r="Q18" i="6"/>
  <c r="S18" i="6" s="1"/>
  <c r="S25" i="6"/>
  <c r="S24" i="6"/>
  <c r="S21" i="6"/>
  <c r="S26" i="6"/>
  <c r="X19" i="4"/>
  <c r="G19" i="4"/>
  <c r="X28" i="4"/>
  <c r="G25" i="4"/>
  <c r="X18" i="4"/>
  <c r="I28" i="4"/>
  <c r="M18" i="4"/>
  <c r="J18" i="4"/>
  <c r="I19" i="4"/>
  <c r="X17" i="4"/>
  <c r="I26" i="4"/>
  <c r="K26" i="4"/>
  <c r="L28" i="4"/>
  <c r="I18" i="4"/>
  <c r="G16" i="4"/>
  <c r="H28" i="4"/>
  <c r="H18" i="4"/>
  <c r="E24" i="4"/>
  <c r="D24" i="4" s="1"/>
  <c r="L16" i="4"/>
  <c r="K25" i="4"/>
  <c r="X16" i="4"/>
  <c r="K28" i="4"/>
  <c r="M28" i="4"/>
  <c r="K16" i="4"/>
  <c r="D15" i="4"/>
  <c r="D16" i="4" s="1"/>
  <c r="D17" i="4" s="1"/>
  <c r="D18" i="4" s="1"/>
  <c r="D19" i="4" s="1"/>
  <c r="D20" i="4" s="1"/>
  <c r="D21" i="4" s="1"/>
  <c r="AK12" i="6"/>
  <c r="Y12" i="6"/>
  <c r="AG12" i="6"/>
  <c r="AF12" i="6" s="1"/>
  <c r="AA12" i="6"/>
  <c r="X12" i="6"/>
  <c r="AC12" i="6"/>
  <c r="AD12" i="6"/>
  <c r="AJ11" i="6"/>
  <c r="Q2" i="6" a="1"/>
  <c r="R4" i="6" s="1"/>
  <c r="Z11" i="6"/>
  <c r="AB11" i="6"/>
  <c r="W11" i="6"/>
  <c r="AB30" i="6" s="1" a="1"/>
  <c r="AB30" i="6" s="1"/>
  <c r="S2" i="6" a="1"/>
  <c r="S2" i="6" s="1"/>
  <c r="V1" i="4"/>
  <c r="W1" i="4" s="1" a="1"/>
  <c r="W1" i="4" s="1"/>
  <c r="X1" i="4" s="1" a="1"/>
  <c r="X1" i="4" s="1"/>
  <c r="AG13" i="6"/>
  <c r="AF13" i="6" s="1"/>
  <c r="AA13" i="6"/>
  <c r="Y13" i="6"/>
  <c r="X13" i="6"/>
  <c r="AC13" i="6"/>
  <c r="AK13" i="6"/>
  <c r="AD13" i="6"/>
  <c r="AE13" i="6" s="1"/>
  <c r="T11" i="6" a="1"/>
  <c r="T11" i="6" s="1"/>
  <c r="X5" i="2"/>
  <c r="Y5" i="2" s="1"/>
  <c r="AQ3" i="1" a="1"/>
  <c r="AQ3" i="1" s="1"/>
  <c r="T8" i="6" s="1" a="1"/>
  <c r="T8" i="6" s="1"/>
  <c r="T28" i="6" l="1"/>
  <c r="V28" i="6" s="1"/>
  <c r="T25" i="6"/>
  <c r="V25" i="6" s="1"/>
  <c r="T21" i="6"/>
  <c r="V21" i="6" s="1"/>
  <c r="T27" i="6"/>
  <c r="V27" i="6" s="1"/>
  <c r="T22" i="6"/>
  <c r="V22" i="6" s="1"/>
  <c r="T18" i="6"/>
  <c r="V18" i="6" s="1"/>
  <c r="T26" i="6"/>
  <c r="V26" i="6" s="1"/>
  <c r="T24" i="6"/>
  <c r="V24" i="6" s="1"/>
  <c r="T19" i="6"/>
  <c r="V19" i="6" s="1"/>
  <c r="T23" i="6"/>
  <c r="V23" i="6" s="1"/>
  <c r="T29" i="6"/>
  <c r="V29" i="6" s="1"/>
  <c r="T20" i="6"/>
  <c r="V20" i="6" s="1"/>
  <c r="Y13" i="4"/>
  <c r="Y14" i="4" s="1" a="1"/>
  <c r="Y14" i="4" s="1"/>
  <c r="V8" i="4"/>
  <c r="AB5" i="4" s="1"/>
  <c r="AE12" i="6"/>
  <c r="Q2" i="6"/>
  <c r="R2" i="6" s="1"/>
  <c r="R3" i="6"/>
  <c r="X11" i="6"/>
  <c r="AF30" i="6" s="1" a="1"/>
  <c r="AF30" i="6" s="1"/>
  <c r="AA11" i="6"/>
  <c r="AC30" i="6" s="1" a="1"/>
  <c r="AC30" i="6" s="1"/>
  <c r="Y11" i="6"/>
  <c r="AE30" i="6" s="1" a="1"/>
  <c r="AE30" i="6" s="1"/>
  <c r="AC11" i="6"/>
  <c r="AH30" i="6" s="1" a="1"/>
  <c r="AH30" i="6" s="1"/>
  <c r="AD11" i="6"/>
  <c r="AG11" i="6"/>
  <c r="AK11" i="6"/>
  <c r="AG30" i="6" s="1" a="1"/>
  <c r="AG30" i="6" s="1"/>
  <c r="T5" i="6"/>
  <c r="V4" i="2"/>
  <c r="W4" i="2" s="1"/>
  <c r="X6" i="2"/>
  <c r="X7" i="2" s="1"/>
  <c r="T3" i="6" l="1"/>
  <c r="Y15" i="4" a="1"/>
  <c r="Y15" i="4" s="1"/>
  <c r="Y17" i="4" s="1" a="1"/>
  <c r="Y17" i="4" s="1"/>
  <c r="Y16" i="4" a="1"/>
  <c r="Y16" i="4" s="1"/>
  <c r="AF11" i="6"/>
  <c r="AH11" i="6" s="1" a="1"/>
  <c r="AH11" i="6" s="1"/>
  <c r="AG9" i="6"/>
  <c r="AD30" i="6" a="1"/>
  <c r="AD30" i="6" s="1"/>
  <c r="AE11" i="6"/>
  <c r="AJ30" i="6" s="1" a="1"/>
  <c r="AJ30" i="6" s="1"/>
  <c r="AI30" i="6" a="1"/>
  <c r="AI30" i="6" s="1"/>
  <c r="V5" i="2"/>
  <c r="W5" i="2" s="1"/>
  <c r="Y6" i="2"/>
  <c r="Y7" i="2"/>
  <c r="X8" i="2"/>
  <c r="Y18" i="4" l="1" a="1"/>
  <c r="Y18" i="4" s="1"/>
  <c r="AB24" i="4" a="1"/>
  <c r="AB24" i="4" s="1"/>
  <c r="AD24" i="4" s="1" a="1"/>
  <c r="AD24" i="4" s="1"/>
  <c r="V6" i="2"/>
  <c r="W6" i="2" s="1"/>
  <c r="Y8" i="2"/>
  <c r="X9" i="2"/>
  <c r="AA24" i="4" l="1" a="1"/>
  <c r="AA24" i="4" s="1"/>
  <c r="Y24" i="4" a="1"/>
  <c r="Y24" i="4" s="1"/>
  <c r="AC24" i="4" a="1"/>
  <c r="AC24" i="4" s="1"/>
  <c r="AJ24" i="4" a="1"/>
  <c r="AJ24" i="4" s="1"/>
  <c r="AK24" i="4" s="1" a="1"/>
  <c r="AK24" i="4" s="1"/>
  <c r="V7" i="2"/>
  <c r="W7" i="2" s="1"/>
  <c r="Y9" i="2"/>
  <c r="X10" i="2"/>
  <c r="AF24" i="4" l="1" a="1"/>
  <c r="AF24" i="4" s="1"/>
  <c r="AE24" i="4" a="1"/>
  <c r="AE24" i="4" s="1"/>
  <c r="AK25" i="4" a="1"/>
  <c r="AK25" i="4" s="1"/>
  <c r="V8" i="2"/>
  <c r="V9" i="2" s="1"/>
  <c r="V10" i="2" s="1"/>
  <c r="Y10" i="2"/>
  <c r="X11" i="2"/>
  <c r="AG24" i="4" l="1" a="1"/>
  <c r="AG24" i="4" s="1"/>
  <c r="AL24" i="4"/>
  <c r="W9" i="2"/>
  <c r="W8" i="2"/>
  <c r="W10" i="2"/>
  <c r="V11" i="2"/>
  <c r="Y11" i="2"/>
  <c r="X12" i="2"/>
  <c r="W11" i="2" l="1"/>
  <c r="V12" i="2"/>
  <c r="Y12" i="2"/>
  <c r="X13" i="2"/>
  <c r="W12" i="2" l="1"/>
  <c r="V13" i="2"/>
  <c r="Y13" i="2"/>
  <c r="X14" i="2"/>
  <c r="V14" i="2" l="1"/>
  <c r="W13" i="2"/>
  <c r="Y14" i="2"/>
  <c r="X15" i="2"/>
  <c r="W14" i="2" l="1"/>
  <c r="V15" i="2"/>
  <c r="Y15" i="2"/>
  <c r="X16" i="2"/>
  <c r="W15" i="2" l="1"/>
  <c r="V16" i="2"/>
  <c r="Y16" i="2"/>
  <c r="X17" i="2"/>
  <c r="W16" i="2" l="1"/>
  <c r="V17" i="2"/>
  <c r="Y17" i="2"/>
  <c r="X18" i="2"/>
  <c r="W17" i="2" l="1"/>
  <c r="V18" i="2"/>
  <c r="Y18" i="2"/>
  <c r="X19" i="2"/>
  <c r="W18" i="2" l="1"/>
  <c r="V19" i="2"/>
  <c r="Y19" i="2"/>
  <c r="X20" i="2"/>
  <c r="W19" i="2" l="1"/>
  <c r="V20" i="2"/>
  <c r="Y20" i="2"/>
  <c r="X21" i="2"/>
  <c r="W20" i="2" l="1"/>
  <c r="V21" i="2"/>
  <c r="Y21" i="2"/>
  <c r="X22" i="2"/>
  <c r="W21" i="2" l="1"/>
  <c r="V22" i="2"/>
  <c r="Y22" i="2"/>
  <c r="X23" i="2"/>
  <c r="W22" i="2" l="1"/>
  <c r="V23" i="2"/>
  <c r="Y23" i="2"/>
  <c r="X24" i="2"/>
  <c r="W23" i="2" l="1"/>
  <c r="V24" i="2"/>
  <c r="Y24" i="2"/>
  <c r="X25" i="2"/>
  <c r="W24" i="2" l="1"/>
  <c r="V25" i="2"/>
  <c r="Y25" i="2"/>
  <c r="X26" i="2"/>
  <c r="W25" i="2" l="1"/>
  <c r="V26" i="2"/>
  <c r="Y26" i="2"/>
  <c r="X27" i="2"/>
  <c r="W26" i="2" l="1"/>
  <c r="V27" i="2"/>
  <c r="Y27" i="2"/>
  <c r="X28" i="2"/>
  <c r="W27" i="2" l="1"/>
  <c r="V28" i="2"/>
  <c r="Y28" i="2"/>
  <c r="X29" i="2"/>
  <c r="W28" i="2" l="1"/>
  <c r="V29" i="2"/>
  <c r="Y29" i="2"/>
  <c r="X30" i="2"/>
  <c r="V30" i="2" l="1"/>
  <c r="W29" i="2"/>
  <c r="Y30" i="2"/>
  <c r="X31" i="2"/>
  <c r="V31" i="2" l="1"/>
  <c r="W30" i="2"/>
  <c r="Y31" i="2"/>
  <c r="X32" i="2"/>
  <c r="V32" i="2" l="1"/>
  <c r="W31" i="2"/>
  <c r="Y32" i="2"/>
  <c r="X33" i="2"/>
  <c r="V33" i="2" l="1"/>
  <c r="W32" i="2"/>
  <c r="Y33" i="2"/>
  <c r="X34" i="2"/>
  <c r="W33" i="2" l="1"/>
  <c r="V34" i="2"/>
  <c r="Y34" i="2"/>
  <c r="X35" i="2"/>
  <c r="W34" i="2" l="1"/>
  <c r="V35" i="2"/>
  <c r="Y35" i="2"/>
  <c r="X36" i="2"/>
  <c r="W35" i="2" l="1"/>
  <c r="V36" i="2"/>
  <c r="Y36" i="2"/>
  <c r="X37" i="2"/>
  <c r="W36" i="2" l="1"/>
  <c r="V37" i="2"/>
  <c r="Y37" i="2"/>
  <c r="X38" i="2"/>
  <c r="V38" i="2" l="1"/>
  <c r="W37" i="2"/>
  <c r="Y38" i="2"/>
  <c r="X39" i="2"/>
  <c r="W38" i="2" l="1"/>
  <c r="V39" i="2"/>
  <c r="Y39" i="2"/>
  <c r="X40" i="2"/>
  <c r="W39" i="2" l="1"/>
  <c r="V40" i="2"/>
  <c r="Y40" i="2"/>
  <c r="X41" i="2"/>
  <c r="W40" i="2" l="1"/>
  <c r="V41" i="2"/>
  <c r="Y41" i="2"/>
  <c r="X42" i="2"/>
  <c r="W41" i="2" l="1"/>
  <c r="V42" i="2"/>
  <c r="Y42" i="2"/>
  <c r="X43" i="2"/>
  <c r="W42" i="2" l="1"/>
  <c r="V43" i="2"/>
  <c r="X44" i="2"/>
  <c r="Y43" i="2"/>
  <c r="W43" i="2" l="1"/>
  <c r="V44" i="2"/>
  <c r="Y44" i="2"/>
  <c r="X45" i="2"/>
  <c r="W44" i="2" l="1"/>
  <c r="V45" i="2"/>
  <c r="Y45" i="2"/>
  <c r="X46" i="2"/>
  <c r="W45" i="2" l="1"/>
  <c r="V46" i="2"/>
  <c r="Y46" i="2"/>
  <c r="X47" i="2"/>
  <c r="W46" i="2" l="1"/>
  <c r="V47" i="2"/>
  <c r="Y47" i="2"/>
  <c r="X48" i="2"/>
  <c r="V48" i="2" l="1"/>
  <c r="W47" i="2"/>
  <c r="Y48" i="2"/>
  <c r="X49" i="2"/>
  <c r="V49" i="2" l="1"/>
  <c r="W48" i="2"/>
  <c r="Y49" i="2"/>
  <c r="X50" i="2"/>
  <c r="W49" i="2" l="1"/>
  <c r="V50" i="2"/>
  <c r="Y50" i="2"/>
  <c r="X51" i="2"/>
  <c r="W50" i="2" l="1"/>
  <c r="V51" i="2"/>
  <c r="Y51" i="2"/>
  <c r="X52" i="2"/>
  <c r="V52" i="2" l="1"/>
  <c r="W51" i="2"/>
  <c r="Y52" i="2"/>
  <c r="X53" i="2"/>
  <c r="W52" i="2" l="1"/>
  <c r="V53" i="2"/>
  <c r="Y53" i="2"/>
  <c r="X54" i="2"/>
  <c r="W53" i="2" l="1"/>
  <c r="V54" i="2"/>
  <c r="Y54" i="2"/>
  <c r="X55" i="2"/>
  <c r="V55" i="2" l="1"/>
  <c r="W54" i="2"/>
  <c r="Y55" i="2"/>
  <c r="X56" i="2"/>
  <c r="V56" i="2" l="1"/>
  <c r="W55" i="2"/>
  <c r="Y56" i="2"/>
  <c r="X57" i="2"/>
  <c r="V57" i="2" l="1"/>
  <c r="W56" i="2"/>
  <c r="Y57" i="2"/>
  <c r="X58" i="2"/>
  <c r="W57" i="2" l="1"/>
  <c r="V58" i="2"/>
  <c r="Y58" i="2"/>
  <c r="X59" i="2"/>
  <c r="V59" i="2" l="1"/>
  <c r="W58" i="2"/>
  <c r="Y59" i="2"/>
  <c r="X60" i="2"/>
  <c r="V60" i="2" l="1"/>
  <c r="W59" i="2"/>
  <c r="Y60" i="2"/>
  <c r="X61" i="2"/>
  <c r="V61" i="2" l="1"/>
  <c r="W60" i="2"/>
  <c r="Y61" i="2"/>
  <c r="X62" i="2"/>
  <c r="W61" i="2" l="1"/>
  <c r="V62" i="2"/>
  <c r="X63" i="2"/>
  <c r="Y62" i="2"/>
  <c r="W62" i="2" l="1"/>
  <c r="V63" i="2"/>
  <c r="Y63" i="2"/>
  <c r="X64" i="2"/>
  <c r="W63" i="2" l="1"/>
  <c r="V64" i="2"/>
  <c r="Y64" i="2"/>
  <c r="X65" i="2"/>
  <c r="V65" i="2" l="1"/>
  <c r="W64" i="2"/>
  <c r="Y65" i="2"/>
  <c r="X66" i="2"/>
  <c r="W65" i="2" l="1"/>
  <c r="V66" i="2"/>
  <c r="Y66" i="2"/>
  <c r="X67" i="2"/>
  <c r="W66" i="2" l="1"/>
  <c r="V67" i="2"/>
  <c r="Y67" i="2"/>
  <c r="X68" i="2"/>
  <c r="W67" i="2" l="1"/>
  <c r="V68" i="2"/>
  <c r="Y68" i="2"/>
  <c r="X69" i="2"/>
  <c r="W68" i="2" l="1"/>
  <c r="V69" i="2"/>
  <c r="Y69" i="2"/>
  <c r="X70" i="2"/>
  <c r="W69" i="2" l="1"/>
  <c r="V70" i="2"/>
  <c r="Y70" i="2"/>
  <c r="X71" i="2"/>
  <c r="W70" i="2" l="1"/>
  <c r="V71" i="2"/>
  <c r="Y71" i="2"/>
  <c r="X72" i="2"/>
  <c r="V72" i="2" l="1"/>
  <c r="W71" i="2"/>
  <c r="Y72" i="2"/>
  <c r="X73" i="2"/>
  <c r="W72" i="2" l="1"/>
  <c r="V73" i="2"/>
  <c r="Y73" i="2"/>
  <c r="X74" i="2"/>
  <c r="W73" i="2" l="1"/>
  <c r="V74" i="2"/>
  <c r="Y74" i="2"/>
  <c r="X75" i="2"/>
  <c r="W74" i="2" l="1"/>
  <c r="V75" i="2"/>
  <c r="Y75" i="2"/>
  <c r="X76" i="2"/>
  <c r="V76" i="2" l="1"/>
  <c r="W75" i="2"/>
  <c r="Y76" i="2"/>
  <c r="X77" i="2"/>
  <c r="W76" i="2" l="1"/>
  <c r="V77" i="2"/>
  <c r="Y77" i="2"/>
  <c r="X78" i="2"/>
  <c r="V78" i="2" l="1"/>
  <c r="W77" i="2"/>
  <c r="Y78" i="2"/>
  <c r="X79" i="2"/>
  <c r="V79" i="2" l="1"/>
  <c r="W78" i="2"/>
  <c r="Y79" i="2"/>
  <c r="X80" i="2"/>
  <c r="V80" i="2" l="1"/>
  <c r="W79" i="2"/>
  <c r="Y80" i="2"/>
  <c r="X81" i="2"/>
  <c r="V81" i="2" l="1"/>
  <c r="W80" i="2"/>
  <c r="Y81" i="2"/>
  <c r="X82" i="2"/>
  <c r="W81" i="2" l="1"/>
  <c r="V82" i="2"/>
  <c r="Y82" i="2"/>
  <c r="X83" i="2"/>
  <c r="V83" i="2" l="1"/>
  <c r="W82" i="2"/>
  <c r="Y83" i="2"/>
  <c r="X84" i="2"/>
  <c r="W83" i="2" l="1"/>
  <c r="V84" i="2"/>
  <c r="Y84" i="2"/>
  <c r="X85" i="2"/>
  <c r="V85" i="2" l="1"/>
  <c r="W84" i="2"/>
  <c r="Y85" i="2"/>
  <c r="X86" i="2"/>
  <c r="W85" i="2" l="1"/>
  <c r="V86" i="2"/>
  <c r="Y86" i="2"/>
  <c r="X87" i="2"/>
  <c r="W86" i="2" l="1"/>
  <c r="V87" i="2"/>
  <c r="Y87" i="2"/>
  <c r="X88" i="2"/>
  <c r="W87" i="2" l="1"/>
  <c r="V88" i="2"/>
  <c r="Y88" i="2"/>
  <c r="X89" i="2"/>
  <c r="W88" i="2" l="1"/>
  <c r="V89" i="2"/>
  <c r="Y89" i="2"/>
  <c r="X90" i="2"/>
  <c r="W89" i="2" l="1"/>
  <c r="V90" i="2"/>
  <c r="Y90" i="2"/>
  <c r="X91" i="2"/>
  <c r="V91" i="2" l="1"/>
  <c r="W90" i="2"/>
  <c r="Y91" i="2"/>
  <c r="X92" i="2"/>
  <c r="W91" i="2" l="1"/>
  <c r="V92" i="2"/>
  <c r="Y92" i="2"/>
  <c r="X93" i="2"/>
  <c r="V93" i="2" l="1"/>
  <c r="W92" i="2"/>
  <c r="Y93" i="2"/>
  <c r="X94" i="2"/>
  <c r="W93" i="2" l="1"/>
  <c r="V94" i="2"/>
  <c r="Y94" i="2"/>
  <c r="X95" i="2"/>
  <c r="V95" i="2" l="1"/>
  <c r="W94" i="2"/>
  <c r="Y95" i="2"/>
  <c r="X96" i="2"/>
  <c r="V96" i="2" l="1"/>
  <c r="W95" i="2"/>
  <c r="Y96" i="2"/>
  <c r="X97" i="2"/>
  <c r="W96" i="2" l="1"/>
  <c r="V97" i="2"/>
  <c r="Y97" i="2"/>
  <c r="X98" i="2"/>
  <c r="W97" i="2" l="1"/>
  <c r="V98" i="2"/>
  <c r="Y98" i="2"/>
  <c r="X99" i="2"/>
  <c r="W98" i="2" l="1"/>
  <c r="V99" i="2"/>
  <c r="Y99" i="2"/>
  <c r="X100" i="2"/>
  <c r="W99" i="2" l="1"/>
  <c r="V100" i="2"/>
  <c r="Y100" i="2"/>
  <c r="X101" i="2"/>
  <c r="V101" i="2" l="1"/>
  <c r="W100" i="2"/>
  <c r="Y101" i="2"/>
  <c r="X102" i="2"/>
  <c r="W101" i="2" l="1"/>
  <c r="V102" i="2"/>
  <c r="Y102" i="2"/>
  <c r="X103" i="2"/>
  <c r="W102" i="2" l="1"/>
  <c r="V103" i="2"/>
  <c r="Y103" i="2"/>
  <c r="X104" i="2"/>
  <c r="W103" i="2" l="1"/>
  <c r="V104" i="2"/>
  <c r="Y104" i="2"/>
  <c r="X105" i="2"/>
  <c r="V105" i="2" l="1"/>
  <c r="W104" i="2"/>
  <c r="X106" i="2"/>
  <c r="Y105" i="2"/>
  <c r="W105" i="2" l="1"/>
  <c r="V106" i="2"/>
  <c r="Y106" i="2"/>
  <c r="X107" i="2"/>
  <c r="W106" i="2" l="1"/>
  <c r="V107" i="2"/>
  <c r="Y107" i="2"/>
  <c r="X108" i="2"/>
  <c r="V108" i="2" l="1"/>
  <c r="W107" i="2"/>
  <c r="Y108" i="2"/>
  <c r="X109" i="2"/>
  <c r="V109" i="2" l="1"/>
  <c r="W108" i="2"/>
  <c r="Y109" i="2"/>
  <c r="X110" i="2"/>
  <c r="W109" i="2" l="1"/>
  <c r="V110" i="2"/>
  <c r="Y110" i="2"/>
  <c r="X111" i="2"/>
  <c r="W110" i="2" l="1"/>
  <c r="V111" i="2"/>
  <c r="Y111" i="2"/>
  <c r="X112" i="2"/>
  <c r="W111" i="2" l="1"/>
  <c r="V112" i="2"/>
  <c r="Y112" i="2"/>
  <c r="X113" i="2"/>
  <c r="V113" i="2" l="1"/>
  <c r="W112" i="2"/>
  <c r="Y113" i="2"/>
  <c r="X114" i="2"/>
  <c r="W113" i="2" l="1"/>
  <c r="V114" i="2"/>
  <c r="Y114" i="2"/>
  <c r="X115" i="2"/>
  <c r="V115" i="2" l="1"/>
  <c r="W114" i="2"/>
  <c r="Y115" i="2"/>
  <c r="X116" i="2"/>
  <c r="W115" i="2" l="1"/>
  <c r="V116" i="2"/>
  <c r="Y116" i="2"/>
  <c r="X117" i="2"/>
  <c r="V117" i="2" l="1"/>
  <c r="W116" i="2"/>
  <c r="Y117" i="2"/>
  <c r="X118" i="2"/>
  <c r="V118" i="2" l="1"/>
  <c r="W117" i="2"/>
  <c r="Y118" i="2"/>
  <c r="X119" i="2"/>
  <c r="W118" i="2" l="1"/>
  <c r="V119" i="2"/>
  <c r="Y119" i="2"/>
  <c r="X120" i="2"/>
  <c r="V120" i="2" l="1"/>
  <c r="W119" i="2"/>
  <c r="Y120" i="2"/>
  <c r="X121" i="2"/>
  <c r="V121" i="2" l="1"/>
  <c r="W120" i="2"/>
  <c r="Y121" i="2"/>
  <c r="X122" i="2"/>
  <c r="W121" i="2" l="1"/>
  <c r="V122" i="2"/>
  <c r="Y122" i="2"/>
  <c r="X123" i="2"/>
  <c r="W122" i="2" l="1"/>
  <c r="V123" i="2"/>
  <c r="X124" i="2"/>
  <c r="Y123" i="2"/>
  <c r="V124" i="2" l="1"/>
  <c r="W123" i="2"/>
  <c r="Y124" i="2"/>
  <c r="X125" i="2"/>
  <c r="W124" i="2" l="1"/>
  <c r="V125" i="2"/>
  <c r="Y125" i="2"/>
  <c r="X126" i="2"/>
  <c r="W125" i="2" l="1"/>
  <c r="V126" i="2"/>
  <c r="Y126" i="2"/>
  <c r="X127" i="2"/>
  <c r="W126" i="2" l="1"/>
  <c r="V127" i="2"/>
  <c r="Y127" i="2"/>
  <c r="X128" i="2"/>
  <c r="W127" i="2" l="1"/>
  <c r="V128" i="2"/>
  <c r="Y128" i="2"/>
  <c r="X129" i="2"/>
  <c r="V129" i="2" l="1"/>
  <c r="W128" i="2"/>
  <c r="Y129" i="2"/>
  <c r="X130" i="2"/>
  <c r="W129" i="2" l="1"/>
  <c r="V130" i="2"/>
  <c r="Y130" i="2"/>
  <c r="X131" i="2"/>
  <c r="W130" i="2" l="1"/>
  <c r="V131" i="2"/>
  <c r="Y131" i="2"/>
  <c r="X132" i="2"/>
  <c r="W131" i="2" l="1"/>
  <c r="V132" i="2"/>
  <c r="Y132" i="2"/>
  <c r="X133" i="2"/>
  <c r="V133" i="2" l="1"/>
  <c r="W132" i="2"/>
  <c r="Y133" i="2"/>
  <c r="X134" i="2"/>
  <c r="W133" i="2" l="1"/>
  <c r="V134" i="2"/>
  <c r="Y134" i="2"/>
  <c r="X135" i="2"/>
  <c r="V135" i="2" l="1"/>
  <c r="W134" i="2"/>
  <c r="Y135" i="2"/>
  <c r="X136" i="2"/>
  <c r="V136" i="2" l="1"/>
  <c r="W135" i="2"/>
  <c r="Y136" i="2"/>
  <c r="X137" i="2"/>
  <c r="V137" i="2" l="1"/>
  <c r="W136" i="2"/>
  <c r="Y137" i="2"/>
  <c r="X138" i="2"/>
  <c r="W137" i="2" l="1"/>
  <c r="V138" i="2"/>
  <c r="Y138" i="2"/>
  <c r="X139" i="2"/>
  <c r="W138" i="2" l="1"/>
  <c r="V139" i="2"/>
  <c r="Y139" i="2"/>
  <c r="X140" i="2"/>
  <c r="V140" i="2" l="1"/>
  <c r="W139" i="2"/>
  <c r="Y140" i="2"/>
  <c r="X141" i="2"/>
  <c r="W140" i="2" l="1"/>
  <c r="V141" i="2"/>
  <c r="Y141" i="2"/>
  <c r="X142" i="2"/>
  <c r="V142" i="2" l="1"/>
  <c r="W141" i="2"/>
  <c r="Y142" i="2"/>
  <c r="X143" i="2"/>
  <c r="W142" i="2" l="1"/>
  <c r="V143" i="2"/>
  <c r="Y143" i="2"/>
  <c r="X144" i="2"/>
  <c r="V144" i="2" l="1"/>
  <c r="W143" i="2"/>
  <c r="Y144" i="2"/>
  <c r="X145" i="2"/>
  <c r="V145" i="2" l="1"/>
  <c r="W144" i="2"/>
  <c r="Y145" i="2"/>
  <c r="X146" i="2"/>
  <c r="V146" i="2" l="1"/>
  <c r="W145" i="2"/>
  <c r="Y146" i="2"/>
  <c r="X147" i="2"/>
  <c r="W146" i="2" l="1"/>
  <c r="V147" i="2"/>
  <c r="Y147" i="2"/>
  <c r="X148" i="2"/>
  <c r="W147" i="2" l="1"/>
  <c r="V148" i="2"/>
  <c r="Y148" i="2"/>
  <c r="X149" i="2"/>
  <c r="W148" i="2" l="1"/>
  <c r="V149" i="2"/>
  <c r="Y149" i="2"/>
  <c r="X150" i="2"/>
  <c r="W149" i="2" l="1"/>
  <c r="V150" i="2"/>
  <c r="Y150" i="2"/>
  <c r="X151" i="2"/>
  <c r="V151" i="2" l="1"/>
  <c r="W150" i="2"/>
  <c r="Y151" i="2"/>
  <c r="X152" i="2"/>
  <c r="V152" i="2" l="1"/>
  <c r="W151" i="2"/>
  <c r="Y152" i="2"/>
  <c r="X153" i="2"/>
  <c r="W152" i="2" l="1"/>
  <c r="V153" i="2"/>
  <c r="Y153" i="2"/>
  <c r="X154" i="2"/>
  <c r="W153" i="2" l="1"/>
  <c r="V154" i="2"/>
  <c r="Y154" i="2"/>
  <c r="X155" i="2"/>
  <c r="V155" i="2" l="1"/>
  <c r="W154" i="2"/>
  <c r="Y155" i="2"/>
  <c r="X156" i="2"/>
  <c r="W155" i="2" l="1"/>
  <c r="V156" i="2"/>
  <c r="Y156" i="2"/>
  <c r="X157" i="2"/>
  <c r="W156" i="2" l="1"/>
  <c r="V157" i="2"/>
  <c r="Y157" i="2"/>
  <c r="X158" i="2"/>
  <c r="W157" i="2" l="1"/>
  <c r="V158" i="2"/>
  <c r="Y158" i="2"/>
  <c r="X159" i="2"/>
  <c r="V159" i="2" l="1"/>
  <c r="W158" i="2"/>
  <c r="Y159" i="2"/>
  <c r="X160" i="2"/>
  <c r="W159" i="2" l="1"/>
  <c r="V160" i="2"/>
  <c r="Y160" i="2"/>
  <c r="X161" i="2"/>
  <c r="W160" i="2" l="1"/>
  <c r="V161" i="2"/>
  <c r="Y161" i="2"/>
  <c r="X162" i="2"/>
  <c r="V162" i="2" l="1"/>
  <c r="W161" i="2"/>
  <c r="Y162" i="2"/>
  <c r="X163" i="2"/>
  <c r="W162" i="2" l="1"/>
  <c r="V163" i="2"/>
  <c r="Y163" i="2"/>
  <c r="X164" i="2"/>
  <c r="W163" i="2" l="1"/>
  <c r="V164" i="2"/>
  <c r="Y164" i="2"/>
  <c r="X165" i="2"/>
  <c r="W164" i="2" l="1"/>
  <c r="V165" i="2"/>
  <c r="Y165" i="2"/>
  <c r="X166" i="2"/>
  <c r="V166" i="2" l="1"/>
  <c r="W165" i="2"/>
  <c r="Y166" i="2"/>
  <c r="X167" i="2"/>
  <c r="W166" i="2" l="1"/>
  <c r="V167" i="2"/>
  <c r="Y167" i="2"/>
  <c r="X168" i="2"/>
  <c r="W167" i="2" l="1"/>
  <c r="V168" i="2"/>
  <c r="Y168" i="2"/>
  <c r="X169" i="2"/>
  <c r="W168" i="2" l="1"/>
  <c r="V169" i="2"/>
  <c r="Y169" i="2"/>
  <c r="X170" i="2"/>
  <c r="V170" i="2" l="1"/>
  <c r="W169" i="2"/>
  <c r="Y170" i="2"/>
  <c r="X171" i="2"/>
  <c r="W170" i="2" l="1"/>
  <c r="V171" i="2"/>
  <c r="Y171" i="2"/>
  <c r="X172" i="2"/>
  <c r="W171" i="2" l="1"/>
  <c r="V172" i="2"/>
  <c r="Y172" i="2"/>
  <c r="X173" i="2"/>
  <c r="V173" i="2" l="1"/>
  <c r="W172" i="2"/>
  <c r="Y173" i="2"/>
  <c r="X174" i="2"/>
  <c r="W173" i="2" l="1"/>
  <c r="V174" i="2"/>
  <c r="Y174" i="2"/>
  <c r="X175" i="2"/>
  <c r="W174" i="2" l="1"/>
  <c r="V175" i="2"/>
  <c r="Y175" i="2"/>
  <c r="X176" i="2"/>
  <c r="W175" i="2" l="1"/>
  <c r="V176" i="2"/>
  <c r="Y176" i="2"/>
  <c r="X177" i="2"/>
  <c r="V177" i="2" l="1"/>
  <c r="W176" i="2"/>
  <c r="Y177" i="2"/>
  <c r="X178" i="2"/>
  <c r="W177" i="2" l="1"/>
  <c r="V178" i="2"/>
  <c r="Y178" i="2"/>
  <c r="X179" i="2"/>
  <c r="W178" i="2" l="1"/>
  <c r="V179" i="2"/>
  <c r="Y179" i="2"/>
  <c r="X180" i="2"/>
  <c r="W179" i="2" l="1"/>
  <c r="V180" i="2"/>
  <c r="Y180" i="2"/>
  <c r="X181" i="2"/>
  <c r="W180" i="2" l="1"/>
  <c r="V181" i="2"/>
  <c r="Y181" i="2"/>
  <c r="X182" i="2"/>
  <c r="V182" i="2" l="1"/>
  <c r="W181" i="2"/>
  <c r="Y182" i="2"/>
  <c r="X183" i="2"/>
  <c r="W182" i="2" l="1"/>
  <c r="V183" i="2"/>
  <c r="Y183" i="2"/>
  <c r="X184" i="2"/>
  <c r="W183" i="2" l="1"/>
  <c r="V184" i="2"/>
  <c r="Y184" i="2"/>
  <c r="X185" i="2"/>
  <c r="W184" i="2" l="1"/>
  <c r="V185" i="2"/>
  <c r="Y185" i="2"/>
  <c r="X186" i="2"/>
  <c r="V186" i="2" l="1"/>
  <c r="W185" i="2"/>
  <c r="Y186" i="2"/>
  <c r="X187" i="2"/>
  <c r="W186" i="2" l="1"/>
  <c r="V187" i="2"/>
  <c r="Y187" i="2"/>
  <c r="X188" i="2"/>
  <c r="W187" i="2" l="1"/>
  <c r="V188" i="2"/>
  <c r="Y188" i="2"/>
  <c r="X189" i="2"/>
  <c r="V189" i="2" l="1"/>
  <c r="W188" i="2"/>
  <c r="Y189" i="2"/>
  <c r="X190" i="2"/>
  <c r="W189" i="2" l="1"/>
  <c r="V190" i="2"/>
  <c r="Y190" i="2"/>
  <c r="X191" i="2"/>
  <c r="V191" i="2" l="1"/>
  <c r="W190" i="2"/>
  <c r="Y191" i="2"/>
  <c r="X192" i="2"/>
  <c r="W191" i="2" l="1"/>
  <c r="V192" i="2"/>
  <c r="Y192" i="2"/>
  <c r="X193" i="2"/>
  <c r="W192" i="2" l="1"/>
  <c r="V193" i="2"/>
  <c r="Y193" i="2"/>
  <c r="X194" i="2"/>
  <c r="W193" i="2" l="1"/>
  <c r="V194" i="2"/>
  <c r="Y194" i="2"/>
  <c r="X195" i="2"/>
  <c r="W194" i="2" l="1"/>
  <c r="V195" i="2"/>
  <c r="Y195" i="2"/>
  <c r="X196" i="2"/>
  <c r="W195" i="2" l="1"/>
  <c r="V196" i="2"/>
  <c r="Y196" i="2"/>
  <c r="X197" i="2"/>
  <c r="V197" i="2" l="1"/>
  <c r="W196" i="2"/>
  <c r="Y197" i="2"/>
  <c r="X198" i="2"/>
  <c r="W197" i="2" l="1"/>
  <c r="V198" i="2"/>
  <c r="Y198" i="2"/>
  <c r="X199" i="2"/>
  <c r="W198" i="2" l="1"/>
  <c r="V199" i="2"/>
  <c r="Y199" i="2"/>
  <c r="X200" i="2"/>
  <c r="W199" i="2" l="1"/>
  <c r="V200" i="2"/>
  <c r="Y200" i="2"/>
  <c r="X201" i="2"/>
  <c r="W200" i="2" l="1"/>
  <c r="V201" i="2"/>
  <c r="Y201" i="2"/>
  <c r="X202" i="2"/>
  <c r="W201" i="2" l="1"/>
  <c r="V202" i="2"/>
  <c r="Y202" i="2"/>
  <c r="X203" i="2"/>
  <c r="W202" i="2" l="1"/>
  <c r="V203" i="2"/>
  <c r="Y203" i="2"/>
  <c r="X204" i="2"/>
  <c r="V204" i="2" l="1"/>
  <c r="W203" i="2"/>
  <c r="Y204" i="2"/>
  <c r="X205" i="2"/>
  <c r="W204" i="2" l="1"/>
  <c r="V205" i="2"/>
  <c r="Y205" i="2"/>
  <c r="X206" i="2"/>
  <c r="W205" i="2" l="1"/>
  <c r="V206" i="2"/>
  <c r="Y206" i="2"/>
  <c r="X207" i="2"/>
  <c r="W206" i="2" l="1"/>
  <c r="V207" i="2"/>
  <c r="Y207" i="2"/>
  <c r="X208" i="2"/>
  <c r="W207" i="2" l="1"/>
  <c r="V208" i="2"/>
  <c r="Y208" i="2"/>
  <c r="X209" i="2"/>
  <c r="W208" i="2" l="1"/>
  <c r="V209" i="2"/>
  <c r="Y209" i="2"/>
  <c r="X210" i="2"/>
  <c r="W209" i="2" l="1"/>
  <c r="V210" i="2"/>
  <c r="Y210" i="2"/>
  <c r="X211" i="2"/>
  <c r="V211" i="2" l="1"/>
  <c r="W210" i="2"/>
  <c r="Y211" i="2"/>
  <c r="X212" i="2"/>
  <c r="W211" i="2" l="1"/>
  <c r="V212" i="2"/>
  <c r="Y212" i="2"/>
  <c r="X213" i="2"/>
  <c r="V213" i="2" l="1"/>
  <c r="W212" i="2"/>
  <c r="Y213" i="2"/>
  <c r="X214" i="2"/>
  <c r="W213" i="2" l="1"/>
  <c r="V214" i="2"/>
  <c r="Y214" i="2"/>
  <c r="X215" i="2"/>
  <c r="W214" i="2" l="1"/>
  <c r="V215" i="2"/>
  <c r="Y215" i="2"/>
  <c r="X216" i="2"/>
  <c r="V216" i="2" l="1"/>
  <c r="W215" i="2"/>
  <c r="Y216" i="2"/>
  <c r="X217" i="2"/>
  <c r="V217" i="2" l="1"/>
  <c r="W216" i="2"/>
  <c r="Y217" i="2"/>
  <c r="X218" i="2"/>
  <c r="W217" i="2" l="1"/>
  <c r="V218" i="2"/>
  <c r="Y218" i="2"/>
  <c r="X219" i="2"/>
  <c r="W218" i="2" l="1"/>
  <c r="V219" i="2"/>
  <c r="Y219" i="2"/>
  <c r="X220" i="2"/>
  <c r="W219" i="2" l="1"/>
  <c r="V220" i="2"/>
  <c r="Y220" i="2"/>
  <c r="X221" i="2"/>
  <c r="W220" i="2" l="1"/>
  <c r="V221" i="2"/>
  <c r="Y221" i="2"/>
  <c r="X222" i="2"/>
  <c r="V222" i="2" l="1"/>
  <c r="W221" i="2"/>
  <c r="Y222" i="2"/>
  <c r="X223" i="2"/>
  <c r="V223" i="2" l="1"/>
  <c r="W222" i="2"/>
  <c r="Y223" i="2"/>
  <c r="X224" i="2"/>
  <c r="V224" i="2" l="1"/>
  <c r="W223" i="2"/>
  <c r="X225" i="2"/>
  <c r="Y224" i="2"/>
  <c r="W224" i="2" l="1"/>
  <c r="V225" i="2"/>
  <c r="Y225" i="2"/>
  <c r="X226" i="2"/>
  <c r="W225" i="2" l="1"/>
  <c r="V226" i="2"/>
  <c r="Y226" i="2"/>
  <c r="X227" i="2"/>
  <c r="W226" i="2" l="1"/>
  <c r="V227" i="2"/>
  <c r="Y227" i="2"/>
  <c r="X228" i="2"/>
  <c r="V228" i="2" l="1"/>
  <c r="W227" i="2"/>
  <c r="Y228" i="2"/>
  <c r="X229" i="2"/>
  <c r="V229" i="2" l="1"/>
  <c r="W228" i="2"/>
  <c r="Y229" i="2"/>
  <c r="X230" i="2"/>
  <c r="V230" i="2" l="1"/>
  <c r="W229" i="2"/>
  <c r="Y230" i="2"/>
  <c r="X231" i="2"/>
  <c r="W230" i="2" l="1"/>
  <c r="V231" i="2"/>
  <c r="Y231" i="2"/>
  <c r="X232" i="2"/>
  <c r="V232" i="2" l="1"/>
  <c r="W231" i="2"/>
  <c r="Y232" i="2"/>
  <c r="X233" i="2"/>
  <c r="V233" i="2" l="1"/>
  <c r="W232" i="2"/>
  <c r="Y233" i="2"/>
  <c r="X234" i="2"/>
  <c r="V234" i="2" l="1"/>
  <c r="W233" i="2"/>
  <c r="Y234" i="2"/>
  <c r="X235" i="2"/>
  <c r="W234" i="2" l="1"/>
  <c r="V235" i="2"/>
  <c r="Y235" i="2"/>
  <c r="X236" i="2"/>
  <c r="W235" i="2" l="1"/>
  <c r="V236" i="2"/>
  <c r="Y236" i="2"/>
  <c r="X237" i="2"/>
  <c r="V237" i="2" l="1"/>
  <c r="W236" i="2"/>
  <c r="Y237" i="2"/>
  <c r="X238" i="2"/>
  <c r="V238" i="2" l="1"/>
  <c r="W237" i="2"/>
  <c r="Y238" i="2"/>
  <c r="X239" i="2"/>
  <c r="V239" i="2" l="1"/>
  <c r="W238" i="2"/>
  <c r="Y239" i="2"/>
  <c r="X240" i="2"/>
  <c r="W239" i="2" l="1"/>
  <c r="V240" i="2"/>
  <c r="Y240" i="2"/>
  <c r="X241" i="2"/>
  <c r="W240" i="2" l="1"/>
  <c r="V241" i="2"/>
  <c r="Y241" i="2"/>
  <c r="X242" i="2"/>
  <c r="W241" i="2" l="1"/>
  <c r="V242" i="2"/>
  <c r="Y242" i="2"/>
  <c r="X243" i="2"/>
  <c r="V243" i="2" l="1"/>
  <c r="W242" i="2"/>
  <c r="Y243" i="2"/>
  <c r="X244" i="2"/>
  <c r="W243" i="2" l="1"/>
  <c r="V244" i="2"/>
  <c r="Y244" i="2"/>
  <c r="X245" i="2"/>
  <c r="W244" i="2" l="1"/>
  <c r="V245" i="2"/>
  <c r="Y245" i="2"/>
  <c r="X246" i="2"/>
  <c r="W245" i="2" l="1"/>
  <c r="V246" i="2"/>
  <c r="Y246" i="2"/>
  <c r="X247" i="2"/>
  <c r="W246" i="2" l="1"/>
  <c r="V247" i="2"/>
  <c r="Y247" i="2"/>
  <c r="X248" i="2"/>
  <c r="W247" i="2" l="1"/>
  <c r="V248" i="2"/>
  <c r="Y248" i="2"/>
  <c r="X249" i="2"/>
  <c r="W248" i="2" l="1"/>
  <c r="V249" i="2"/>
  <c r="Y249" i="2"/>
  <c r="X250" i="2"/>
  <c r="W249" i="2" l="1"/>
  <c r="V250" i="2"/>
  <c r="Y250" i="2"/>
  <c r="X251" i="2"/>
  <c r="W250" i="2" l="1"/>
  <c r="V251" i="2"/>
  <c r="Y251" i="2"/>
  <c r="X252" i="2"/>
  <c r="V252" i="2" l="1"/>
  <c r="W251" i="2"/>
  <c r="Y252" i="2"/>
  <c r="X253" i="2"/>
  <c r="W252" i="2" l="1"/>
  <c r="V253" i="2"/>
  <c r="Y253" i="2"/>
  <c r="X254" i="2"/>
  <c r="W253" i="2" l="1"/>
  <c r="V254" i="2"/>
  <c r="Y254" i="2"/>
  <c r="X255" i="2"/>
  <c r="W254" i="2" l="1"/>
  <c r="V255" i="2"/>
  <c r="Y255" i="2"/>
  <c r="X256" i="2"/>
  <c r="V256" i="2" l="1"/>
  <c r="W255" i="2"/>
  <c r="Y256" i="2"/>
  <c r="X257" i="2"/>
  <c r="W256" i="2" l="1"/>
  <c r="V257" i="2"/>
  <c r="Y257" i="2"/>
  <c r="X258" i="2"/>
  <c r="V258" i="2" l="1"/>
  <c r="W257" i="2"/>
  <c r="Y258" i="2"/>
  <c r="X259" i="2"/>
  <c r="W258" i="2" l="1"/>
  <c r="V259" i="2"/>
  <c r="Y259" i="2"/>
  <c r="X260" i="2"/>
  <c r="W259" i="2" l="1"/>
  <c r="V260" i="2"/>
  <c r="Y260" i="2"/>
  <c r="X261" i="2"/>
  <c r="W260" i="2" l="1"/>
  <c r="V261" i="2"/>
  <c r="Y261" i="2"/>
  <c r="X262" i="2"/>
  <c r="V262" i="2" l="1"/>
  <c r="W261" i="2"/>
  <c r="Y262" i="2"/>
  <c r="X263" i="2"/>
  <c r="W262" i="2" l="1"/>
  <c r="V263" i="2"/>
  <c r="Y263" i="2"/>
  <c r="X264" i="2"/>
  <c r="V264" i="2" l="1"/>
  <c r="W263" i="2"/>
  <c r="Y264" i="2"/>
  <c r="X265" i="2"/>
  <c r="W264" i="2" l="1"/>
  <c r="V265" i="2"/>
  <c r="Y265" i="2"/>
  <c r="X266" i="2"/>
  <c r="V266" i="2" l="1"/>
  <c r="W265" i="2"/>
  <c r="Y266" i="2"/>
  <c r="X267" i="2"/>
  <c r="W266" i="2" l="1"/>
  <c r="V267" i="2"/>
  <c r="Y267" i="2"/>
  <c r="X268" i="2"/>
  <c r="W267" i="2" l="1"/>
  <c r="V268" i="2"/>
  <c r="Y268" i="2"/>
  <c r="X269" i="2"/>
  <c r="V269" i="2" l="1"/>
  <c r="W268" i="2"/>
  <c r="Y269" i="2"/>
  <c r="X270" i="2"/>
  <c r="V270" i="2" l="1"/>
  <c r="W269" i="2"/>
  <c r="Y270" i="2"/>
  <c r="X271" i="2"/>
  <c r="V271" i="2" l="1"/>
  <c r="W270" i="2"/>
  <c r="Y271" i="2"/>
  <c r="X272" i="2"/>
  <c r="V272" i="2" l="1"/>
  <c r="W271" i="2"/>
  <c r="Y272" i="2"/>
  <c r="X273" i="2"/>
  <c r="W272" i="2" l="1"/>
  <c r="V273" i="2"/>
  <c r="Y273" i="2"/>
  <c r="X274" i="2"/>
  <c r="W273" i="2" l="1"/>
  <c r="V274" i="2"/>
  <c r="Y274" i="2"/>
  <c r="X275" i="2"/>
  <c r="W274" i="2" l="1"/>
  <c r="V275" i="2"/>
  <c r="Y275" i="2"/>
  <c r="X276" i="2"/>
  <c r="W275" i="2" l="1"/>
  <c r="V276" i="2"/>
  <c r="Y276" i="2"/>
  <c r="X277" i="2"/>
  <c r="W276" i="2" l="1"/>
  <c r="V277" i="2"/>
  <c r="Y277" i="2"/>
  <c r="X278" i="2"/>
  <c r="W277" i="2" l="1"/>
  <c r="V278" i="2"/>
  <c r="Y278" i="2"/>
  <c r="X279" i="2"/>
  <c r="V279" i="2" l="1"/>
  <c r="W278" i="2"/>
  <c r="Y279" i="2"/>
  <c r="X280" i="2"/>
  <c r="V280" i="2" l="1"/>
  <c r="W279" i="2"/>
  <c r="X281" i="2"/>
  <c r="Y280" i="2"/>
  <c r="W280" i="2" l="1"/>
  <c r="V281" i="2"/>
  <c r="X282" i="2"/>
  <c r="Y281" i="2"/>
  <c r="W281" i="2" l="1"/>
  <c r="V282" i="2"/>
  <c r="Y282" i="2"/>
  <c r="X283" i="2"/>
  <c r="V283" i="2" l="1"/>
  <c r="W282" i="2"/>
  <c r="Y283" i="2"/>
  <c r="X284" i="2"/>
  <c r="V284" i="2" l="1"/>
  <c r="W283" i="2"/>
  <c r="Y284" i="2"/>
  <c r="X285" i="2"/>
  <c r="W284" i="2" l="1"/>
  <c r="V285" i="2"/>
  <c r="Y285" i="2"/>
  <c r="X286" i="2"/>
  <c r="W285" i="2" l="1"/>
  <c r="V286" i="2"/>
  <c r="Y286" i="2"/>
  <c r="X287" i="2"/>
  <c r="V287" i="2" l="1"/>
  <c r="W286" i="2"/>
  <c r="Y287" i="2"/>
  <c r="X288" i="2"/>
  <c r="V288" i="2" l="1"/>
  <c r="W287" i="2"/>
  <c r="Y288" i="2"/>
  <c r="X289" i="2"/>
  <c r="W288" i="2" l="1"/>
  <c r="V289" i="2"/>
  <c r="Y289" i="2"/>
  <c r="X290" i="2"/>
  <c r="W289" i="2" l="1"/>
  <c r="V290" i="2"/>
  <c r="Y290" i="2"/>
  <c r="X291" i="2"/>
  <c r="W290" i="2" l="1"/>
  <c r="V291" i="2"/>
  <c r="Y291" i="2"/>
  <c r="X292" i="2"/>
  <c r="V292" i="2" l="1"/>
  <c r="W291" i="2"/>
  <c r="Y292" i="2"/>
  <c r="X293" i="2"/>
  <c r="V293" i="2" l="1"/>
  <c r="W292" i="2"/>
  <c r="Y293" i="2"/>
  <c r="X294" i="2"/>
  <c r="W293" i="2" l="1"/>
  <c r="V294" i="2"/>
  <c r="Y294" i="2"/>
  <c r="X295" i="2"/>
  <c r="V295" i="2" l="1"/>
  <c r="W294" i="2"/>
  <c r="Y295" i="2"/>
  <c r="X296" i="2"/>
  <c r="V296" i="2" l="1"/>
  <c r="W295" i="2"/>
  <c r="X297" i="2"/>
  <c r="Y296" i="2"/>
  <c r="W296" i="2" l="1"/>
  <c r="V297" i="2"/>
  <c r="Y297" i="2"/>
  <c r="X298" i="2"/>
  <c r="W297" i="2" l="1"/>
  <c r="V298" i="2"/>
  <c r="Y298" i="2"/>
  <c r="X299" i="2"/>
  <c r="W298" i="2" l="1"/>
  <c r="V299" i="2"/>
  <c r="Y299" i="2"/>
  <c r="X300" i="2"/>
  <c r="V300" i="2" l="1"/>
  <c r="W299" i="2"/>
  <c r="Y300" i="2"/>
  <c r="X301" i="2"/>
  <c r="V301" i="2" l="1"/>
  <c r="W300" i="2"/>
  <c r="Y301" i="2"/>
  <c r="X302" i="2"/>
  <c r="W301" i="2" l="1"/>
  <c r="V302" i="2"/>
  <c r="Y302" i="2"/>
  <c r="X303" i="2"/>
  <c r="V303" i="2" l="1"/>
  <c r="W302" i="2"/>
  <c r="Y303" i="2"/>
  <c r="X304" i="2"/>
  <c r="W303" i="2" l="1"/>
  <c r="V304" i="2"/>
  <c r="Y304" i="2"/>
  <c r="X305" i="2"/>
  <c r="V305" i="2" l="1"/>
  <c r="W304" i="2"/>
  <c r="Y305" i="2"/>
  <c r="X306" i="2"/>
  <c r="W305" i="2" l="1"/>
  <c r="V306" i="2"/>
  <c r="Y306" i="2"/>
  <c r="X307" i="2"/>
  <c r="W306" i="2" l="1"/>
  <c r="V307" i="2"/>
  <c r="Y307" i="2"/>
  <c r="X308" i="2"/>
  <c r="W307" i="2" l="1"/>
  <c r="V308" i="2"/>
  <c r="Y308" i="2"/>
  <c r="X309" i="2"/>
  <c r="V309" i="2" l="1"/>
  <c r="W308" i="2"/>
  <c r="Y309" i="2"/>
  <c r="X310" i="2"/>
  <c r="V310" i="2" l="1"/>
  <c r="W309" i="2"/>
  <c r="Y310" i="2"/>
  <c r="X311" i="2"/>
  <c r="W310" i="2" l="1"/>
  <c r="V311" i="2"/>
  <c r="Y311" i="2"/>
  <c r="X312" i="2"/>
  <c r="W311" i="2" l="1"/>
  <c r="V312" i="2"/>
  <c r="Y312" i="2"/>
  <c r="X313" i="2"/>
  <c r="V313" i="2" l="1"/>
  <c r="W312" i="2"/>
  <c r="Y313" i="2"/>
  <c r="X314" i="2"/>
  <c r="W313" i="2" l="1"/>
  <c r="V314" i="2"/>
  <c r="Y314" i="2"/>
  <c r="X315" i="2"/>
  <c r="W314" i="2" l="1"/>
  <c r="V315" i="2"/>
  <c r="Y315" i="2"/>
  <c r="X316" i="2"/>
  <c r="W315" i="2" l="1"/>
  <c r="V316" i="2"/>
  <c r="Y316" i="2"/>
  <c r="X317" i="2"/>
  <c r="W316" i="2" l="1"/>
  <c r="V317" i="2"/>
  <c r="Y317" i="2"/>
  <c r="X318" i="2"/>
  <c r="V318" i="2" l="1"/>
  <c r="W317" i="2"/>
  <c r="Y318" i="2"/>
  <c r="X319" i="2"/>
  <c r="W318" i="2" l="1"/>
  <c r="V319" i="2"/>
  <c r="Y319" i="2"/>
  <c r="X320" i="2"/>
  <c r="W319" i="2" l="1"/>
  <c r="V320" i="2"/>
  <c r="Y320" i="2"/>
  <c r="X321" i="2"/>
  <c r="W320" i="2" l="1"/>
  <c r="V321" i="2"/>
  <c r="Y321" i="2"/>
  <c r="X322" i="2"/>
  <c r="W321" i="2" l="1"/>
  <c r="V322" i="2"/>
  <c r="Y322" i="2"/>
  <c r="X323" i="2"/>
  <c r="W322" i="2" l="1"/>
  <c r="V323" i="2"/>
  <c r="Y323" i="2"/>
  <c r="X324" i="2"/>
  <c r="W323" i="2" l="1"/>
  <c r="V324" i="2"/>
  <c r="Y324" i="2"/>
  <c r="X325" i="2"/>
  <c r="W324" i="2" l="1"/>
  <c r="V325" i="2"/>
  <c r="Y325" i="2"/>
  <c r="X326" i="2"/>
  <c r="V326" i="2" l="1"/>
  <c r="W325" i="2"/>
  <c r="Y326" i="2"/>
  <c r="X327" i="2"/>
  <c r="W326" i="2" l="1"/>
  <c r="V327" i="2"/>
  <c r="Y327" i="2"/>
  <c r="X328" i="2"/>
  <c r="V328" i="2" l="1"/>
  <c r="W327" i="2"/>
  <c r="Y328" i="2"/>
  <c r="X329" i="2"/>
  <c r="W328" i="2" l="1"/>
  <c r="V329" i="2"/>
  <c r="Y329" i="2"/>
  <c r="X330" i="2"/>
  <c r="V330" i="2" l="1"/>
  <c r="W329" i="2"/>
  <c r="Y330" i="2"/>
  <c r="X331" i="2"/>
  <c r="V331" i="2" l="1"/>
  <c r="W330" i="2"/>
  <c r="Y331" i="2"/>
  <c r="X332" i="2"/>
  <c r="W331" i="2" l="1"/>
  <c r="V332" i="2"/>
  <c r="Y332" i="2"/>
  <c r="X333" i="2"/>
  <c r="V333" i="2" l="1"/>
  <c r="W332" i="2"/>
  <c r="Y333" i="2"/>
  <c r="X334" i="2"/>
  <c r="W333" i="2" l="1"/>
  <c r="V334" i="2"/>
  <c r="X335" i="2"/>
  <c r="Y334" i="2"/>
  <c r="W334" i="2" l="1"/>
  <c r="V335" i="2"/>
  <c r="Y335" i="2"/>
  <c r="X336" i="2"/>
  <c r="W335" i="2" l="1"/>
  <c r="V336" i="2"/>
  <c r="Y336" i="2"/>
  <c r="X337" i="2"/>
  <c r="V337" i="2" l="1"/>
  <c r="W336" i="2"/>
  <c r="Y337" i="2"/>
  <c r="X338" i="2"/>
  <c r="V338" i="2" l="1"/>
  <c r="W337" i="2"/>
  <c r="Y338" i="2"/>
  <c r="X339" i="2"/>
  <c r="W338" i="2" l="1"/>
  <c r="V339" i="2"/>
  <c r="Y339" i="2"/>
  <c r="X340" i="2"/>
  <c r="W339" i="2" l="1"/>
  <c r="V340" i="2"/>
  <c r="Y340" i="2"/>
  <c r="X341" i="2"/>
  <c r="W340" i="2" l="1"/>
  <c r="V341" i="2"/>
  <c r="Y341" i="2"/>
  <c r="X342" i="2"/>
  <c r="W341" i="2" l="1"/>
  <c r="V342" i="2"/>
  <c r="Y342" i="2"/>
  <c r="X343" i="2"/>
  <c r="W342" i="2" l="1"/>
  <c r="V343" i="2"/>
  <c r="Y343" i="2"/>
  <c r="X344" i="2"/>
  <c r="V344" i="2" l="1"/>
  <c r="W343" i="2"/>
  <c r="Y344" i="2"/>
  <c r="X345" i="2"/>
  <c r="W344" i="2" l="1"/>
  <c r="V345" i="2"/>
  <c r="Y345" i="2"/>
  <c r="X346" i="2"/>
  <c r="V346" i="2" l="1"/>
  <c r="W345" i="2"/>
  <c r="Y346" i="2"/>
  <c r="X347" i="2"/>
  <c r="W346" i="2" l="1"/>
  <c r="V347" i="2"/>
  <c r="Y347" i="2"/>
  <c r="X348" i="2"/>
  <c r="W347" i="2" l="1"/>
  <c r="V348" i="2"/>
  <c r="Y348" i="2"/>
  <c r="X349" i="2"/>
  <c r="W348" i="2" l="1"/>
  <c r="V349" i="2"/>
  <c r="Y349" i="2"/>
  <c r="X350" i="2"/>
  <c r="V350" i="2" l="1"/>
  <c r="W349" i="2"/>
  <c r="Y350" i="2"/>
  <c r="X351" i="2"/>
  <c r="W350" i="2" l="1"/>
  <c r="V351" i="2"/>
  <c r="Y351" i="2"/>
  <c r="X352" i="2"/>
  <c r="W351" i="2" l="1"/>
  <c r="V352" i="2"/>
  <c r="Y352" i="2"/>
  <c r="X353" i="2"/>
  <c r="W352" i="2" l="1"/>
  <c r="V353" i="2"/>
  <c r="Y353" i="2"/>
  <c r="X354" i="2"/>
  <c r="W353" i="2" l="1"/>
  <c r="V354" i="2"/>
  <c r="Y354" i="2"/>
  <c r="X355" i="2"/>
  <c r="W354" i="2" l="1"/>
  <c r="V355" i="2"/>
  <c r="Y355" i="2"/>
  <c r="X356" i="2"/>
  <c r="W355" i="2" l="1"/>
  <c r="V356" i="2"/>
  <c r="Y356" i="2"/>
  <c r="X357" i="2"/>
  <c r="W356" i="2" l="1"/>
  <c r="V357" i="2"/>
  <c r="Y357" i="2"/>
  <c r="X358" i="2"/>
  <c r="W357" i="2" l="1"/>
  <c r="V358" i="2"/>
  <c r="Y358" i="2"/>
  <c r="X359" i="2"/>
  <c r="W358" i="2" l="1"/>
  <c r="V359" i="2"/>
  <c r="X360" i="2"/>
  <c r="Y359" i="2"/>
  <c r="W359" i="2" l="1"/>
  <c r="V360" i="2"/>
  <c r="Y360" i="2"/>
  <c r="X361" i="2"/>
  <c r="W360" i="2" l="1"/>
  <c r="V361" i="2"/>
  <c r="Y361" i="2"/>
  <c r="X362" i="2"/>
  <c r="W361" i="2" l="1"/>
  <c r="V362" i="2"/>
  <c r="Y362" i="2"/>
  <c r="X363" i="2"/>
  <c r="W362" i="2" l="1"/>
  <c r="V363" i="2"/>
  <c r="Y363" i="2"/>
  <c r="X364" i="2"/>
  <c r="W363" i="2" l="1"/>
  <c r="V364" i="2"/>
  <c r="Y364" i="2"/>
  <c r="X365" i="2"/>
  <c r="W364" i="2" l="1"/>
  <c r="V365" i="2"/>
  <c r="Y365" i="2"/>
  <c r="X366" i="2"/>
  <c r="W365" i="2" l="1"/>
  <c r="V366" i="2"/>
  <c r="Y366" i="2"/>
  <c r="X367" i="2"/>
  <c r="W366" i="2" l="1"/>
  <c r="V367" i="2"/>
  <c r="Y367" i="2"/>
  <c r="X368" i="2"/>
  <c r="V368" i="2" l="1"/>
  <c r="W367" i="2"/>
  <c r="Y368" i="2"/>
  <c r="X369" i="2"/>
  <c r="V369" i="2" l="1"/>
  <c r="W368" i="2"/>
  <c r="Y369" i="2"/>
  <c r="X370" i="2"/>
  <c r="W369" i="2" l="1"/>
  <c r="V370" i="2"/>
  <c r="Y370" i="2"/>
  <c r="X371" i="2"/>
  <c r="V371" i="2" l="1"/>
  <c r="W370" i="2"/>
  <c r="Y371" i="2"/>
  <c r="X372" i="2"/>
  <c r="V372" i="2" l="1"/>
  <c r="W371" i="2"/>
  <c r="Y372" i="2"/>
  <c r="X373" i="2"/>
  <c r="V373" i="2" l="1"/>
  <c r="W372" i="2"/>
  <c r="X374" i="2"/>
  <c r="Y373" i="2"/>
  <c r="W373" i="2" l="1"/>
  <c r="V374" i="2"/>
  <c r="Y374" i="2"/>
  <c r="X375" i="2"/>
  <c r="V375" i="2" l="1"/>
  <c r="W374" i="2"/>
  <c r="Y375" i="2"/>
  <c r="X376" i="2"/>
  <c r="W375" i="2" l="1"/>
  <c r="V376" i="2"/>
  <c r="Y376" i="2"/>
  <c r="X377" i="2"/>
  <c r="V377" i="2" l="1"/>
  <c r="W376" i="2"/>
  <c r="Y377" i="2"/>
  <c r="X378" i="2"/>
  <c r="W377" i="2" l="1"/>
  <c r="V378" i="2"/>
  <c r="Y378" i="2"/>
  <c r="X379" i="2"/>
  <c r="V379" i="2" l="1"/>
  <c r="W378" i="2"/>
  <c r="Y379" i="2"/>
  <c r="X380" i="2"/>
  <c r="W379" i="2" l="1"/>
  <c r="V380" i="2"/>
  <c r="Y380" i="2"/>
  <c r="X381" i="2"/>
  <c r="V381" i="2" l="1"/>
  <c r="W380" i="2"/>
  <c r="Y381" i="2"/>
  <c r="X382" i="2"/>
  <c r="V382" i="2" l="1"/>
  <c r="W381" i="2"/>
  <c r="Y382" i="2"/>
  <c r="X383" i="2"/>
  <c r="V383" i="2" l="1"/>
  <c r="W382" i="2"/>
  <c r="Y383" i="2"/>
  <c r="X384" i="2"/>
  <c r="W383" i="2" l="1"/>
  <c r="V384" i="2"/>
  <c r="Y384" i="2"/>
  <c r="X385" i="2"/>
  <c r="V385" i="2" l="1"/>
  <c r="W384" i="2"/>
  <c r="Y385" i="2"/>
  <c r="X386" i="2"/>
  <c r="V386" i="2" l="1"/>
  <c r="W385" i="2"/>
  <c r="Y386" i="2"/>
  <c r="X387" i="2"/>
  <c r="W386" i="2" l="1"/>
  <c r="V387" i="2"/>
  <c r="Y387" i="2"/>
  <c r="X388" i="2"/>
  <c r="W387" i="2" l="1"/>
  <c r="V388" i="2"/>
  <c r="Y388" i="2"/>
  <c r="X389" i="2"/>
  <c r="W388" i="2" l="1"/>
  <c r="V389" i="2"/>
  <c r="Y389" i="2"/>
  <c r="X390" i="2"/>
  <c r="W389" i="2" l="1"/>
  <c r="V390" i="2"/>
  <c r="Y390" i="2"/>
  <c r="X391" i="2"/>
  <c r="V391" i="2" l="1"/>
  <c r="W390" i="2"/>
  <c r="Y391" i="2"/>
  <c r="X392" i="2"/>
  <c r="W391" i="2" l="1"/>
  <c r="V392" i="2"/>
  <c r="Y392" i="2"/>
  <c r="X393" i="2"/>
  <c r="V393" i="2" l="1"/>
  <c r="W392" i="2"/>
  <c r="Y393" i="2"/>
  <c r="X394" i="2"/>
  <c r="W393" i="2" l="1"/>
  <c r="V394" i="2"/>
  <c r="Y394" i="2"/>
  <c r="X395" i="2"/>
  <c r="V395" i="2" l="1"/>
  <c r="W394" i="2"/>
  <c r="Y395" i="2"/>
  <c r="X396" i="2"/>
  <c r="W395" i="2" l="1"/>
  <c r="V396" i="2"/>
  <c r="Y396" i="2"/>
  <c r="X397" i="2"/>
  <c r="W396" i="2" l="1"/>
  <c r="V397" i="2"/>
  <c r="Y397" i="2"/>
  <c r="X398" i="2"/>
  <c r="W397" i="2" l="1"/>
  <c r="V398" i="2"/>
  <c r="Y398" i="2"/>
  <c r="X399" i="2"/>
  <c r="W398" i="2" l="1"/>
  <c r="V399" i="2"/>
  <c r="Y399" i="2"/>
  <c r="X400" i="2"/>
  <c r="W399" i="2" l="1"/>
  <c r="V400" i="2"/>
  <c r="Y400" i="2"/>
  <c r="X401" i="2"/>
  <c r="V401" i="2" l="1"/>
  <c r="W400" i="2"/>
  <c r="Y401" i="2"/>
  <c r="X402" i="2"/>
  <c r="W401" i="2" l="1"/>
  <c r="V402" i="2"/>
  <c r="Y402" i="2"/>
  <c r="X403" i="2"/>
  <c r="V403" i="2" l="1"/>
  <c r="W402" i="2"/>
  <c r="Y403" i="2"/>
  <c r="X404" i="2"/>
  <c r="W403" i="2" l="1"/>
  <c r="V404" i="2"/>
  <c r="Y404" i="2"/>
  <c r="X405" i="2"/>
  <c r="W404" i="2" l="1"/>
  <c r="V405" i="2"/>
  <c r="Y405" i="2"/>
  <c r="X406" i="2"/>
  <c r="W405" i="2" l="1"/>
  <c r="V406" i="2"/>
  <c r="Y406" i="2"/>
  <c r="X407" i="2"/>
  <c r="W406" i="2" l="1"/>
  <c r="V407" i="2"/>
  <c r="Y407" i="2"/>
  <c r="X408" i="2"/>
  <c r="W407" i="2" l="1"/>
  <c r="V408" i="2"/>
  <c r="Y408" i="2"/>
  <c r="X409" i="2"/>
  <c r="V409" i="2" l="1"/>
  <c r="W408" i="2"/>
  <c r="Y409" i="2"/>
  <c r="X410" i="2"/>
  <c r="W409" i="2" l="1"/>
  <c r="V410" i="2"/>
  <c r="Y410" i="2"/>
  <c r="X411" i="2"/>
  <c r="W410" i="2" l="1"/>
  <c r="V411" i="2"/>
  <c r="Y411" i="2"/>
  <c r="X412" i="2"/>
  <c r="W411" i="2" l="1"/>
  <c r="V412" i="2"/>
  <c r="Y412" i="2"/>
  <c r="X413" i="2"/>
  <c r="W412" i="2" l="1"/>
  <c r="V413" i="2"/>
  <c r="X414" i="2"/>
  <c r="Y413" i="2"/>
  <c r="W413" i="2" l="1"/>
  <c r="V414" i="2"/>
  <c r="Y414" i="2"/>
  <c r="X415" i="2"/>
  <c r="V415" i="2" l="1"/>
  <c r="W414" i="2"/>
  <c r="Y415" i="2"/>
  <c r="X416" i="2"/>
  <c r="W415" i="2" l="1"/>
  <c r="V416" i="2"/>
  <c r="Y416" i="2"/>
  <c r="X417" i="2"/>
  <c r="W416" i="2" l="1"/>
  <c r="V417" i="2"/>
  <c r="Y417" i="2"/>
  <c r="X418" i="2"/>
  <c r="V418" i="2" l="1"/>
  <c r="W417" i="2"/>
  <c r="Y418" i="2"/>
  <c r="X419" i="2"/>
  <c r="W418" i="2" l="1"/>
  <c r="V419" i="2"/>
  <c r="Y419" i="2"/>
  <c r="X420" i="2"/>
  <c r="W419" i="2" l="1"/>
  <c r="V420" i="2"/>
  <c r="Y420" i="2"/>
  <c r="X421" i="2"/>
  <c r="W420" i="2" l="1"/>
  <c r="V421" i="2"/>
  <c r="Y421" i="2"/>
  <c r="X422" i="2"/>
  <c r="W421" i="2" l="1"/>
  <c r="V422" i="2"/>
  <c r="Y422" i="2"/>
  <c r="X423" i="2"/>
  <c r="W422" i="2" l="1"/>
  <c r="V423" i="2"/>
  <c r="Y423" i="2"/>
  <c r="X424" i="2"/>
  <c r="W423" i="2" l="1"/>
  <c r="V424" i="2"/>
  <c r="Y424" i="2"/>
  <c r="X425" i="2"/>
  <c r="V425" i="2" l="1"/>
  <c r="W424" i="2"/>
  <c r="Y425" i="2"/>
  <c r="X426" i="2"/>
  <c r="W425" i="2" l="1"/>
  <c r="V426" i="2"/>
  <c r="Y426" i="2"/>
  <c r="X427" i="2"/>
  <c r="W426" i="2" l="1"/>
  <c r="V427" i="2"/>
  <c r="Y427" i="2"/>
  <c r="X428" i="2"/>
  <c r="W427" i="2" l="1"/>
  <c r="V428" i="2"/>
  <c r="Y428" i="2"/>
  <c r="X429" i="2"/>
  <c r="W428" i="2" l="1"/>
  <c r="V429" i="2"/>
  <c r="Y429" i="2"/>
  <c r="X430" i="2"/>
  <c r="W429" i="2" l="1"/>
  <c r="V430" i="2"/>
  <c r="Y430" i="2"/>
  <c r="X431" i="2"/>
  <c r="W430" i="2" l="1"/>
  <c r="V431" i="2"/>
  <c r="Y431" i="2"/>
  <c r="X432" i="2"/>
  <c r="V432" i="2" l="1"/>
  <c r="W431" i="2"/>
  <c r="Y432" i="2"/>
  <c r="X433" i="2"/>
  <c r="W432" i="2" l="1"/>
  <c r="V433" i="2"/>
  <c r="Y433" i="2"/>
  <c r="X434" i="2"/>
  <c r="V434" i="2" l="1"/>
  <c r="W433" i="2"/>
  <c r="Y434" i="2"/>
  <c r="X435" i="2"/>
  <c r="W434" i="2" l="1"/>
  <c r="V435" i="2"/>
  <c r="Y435" i="2"/>
  <c r="X436" i="2"/>
  <c r="V436" i="2" l="1"/>
  <c r="W435" i="2"/>
  <c r="Y436" i="2"/>
  <c r="X437" i="2"/>
  <c r="W436" i="2" l="1"/>
  <c r="V437" i="2"/>
  <c r="Y437" i="2"/>
  <c r="X438" i="2"/>
  <c r="W437" i="2" l="1"/>
  <c r="V438" i="2"/>
  <c r="Y438" i="2"/>
  <c r="X439" i="2"/>
  <c r="W438" i="2" l="1"/>
  <c r="V439" i="2"/>
  <c r="Y439" i="2"/>
  <c r="X440" i="2"/>
  <c r="W439" i="2" l="1"/>
  <c r="V440" i="2"/>
  <c r="Y440" i="2"/>
  <c r="X441" i="2"/>
  <c r="W440" i="2" l="1"/>
  <c r="V441" i="2"/>
  <c r="Y441" i="2"/>
  <c r="X442" i="2"/>
  <c r="W441" i="2" l="1"/>
  <c r="V442" i="2"/>
  <c r="Y442" i="2"/>
  <c r="X443" i="2"/>
  <c r="W442" i="2" l="1"/>
  <c r="V443" i="2"/>
  <c r="Y443" i="2"/>
  <c r="X444" i="2"/>
  <c r="W443" i="2" l="1"/>
  <c r="V444" i="2"/>
  <c r="Y444" i="2"/>
  <c r="X445" i="2"/>
  <c r="V445" i="2" l="1"/>
  <c r="W444" i="2"/>
  <c r="Y445" i="2"/>
  <c r="X446" i="2"/>
  <c r="V446" i="2" l="1"/>
  <c r="W445" i="2"/>
  <c r="Y446" i="2"/>
  <c r="X447" i="2"/>
  <c r="V447" i="2" l="1"/>
  <c r="W446" i="2"/>
  <c r="Y447" i="2"/>
  <c r="X448" i="2"/>
  <c r="W447" i="2" l="1"/>
  <c r="V448" i="2"/>
  <c r="Y448" i="2"/>
  <c r="X449" i="2"/>
  <c r="V449" i="2" l="1"/>
  <c r="W448" i="2"/>
  <c r="Y449" i="2"/>
  <c r="X450" i="2"/>
  <c r="W449" i="2" l="1"/>
  <c r="V450" i="2"/>
  <c r="Y450" i="2"/>
  <c r="X451" i="2"/>
  <c r="V451" i="2" l="1"/>
  <c r="W450" i="2"/>
  <c r="Y451" i="2"/>
  <c r="X452" i="2"/>
  <c r="W451" i="2" l="1"/>
  <c r="V452" i="2"/>
  <c r="Y452" i="2"/>
  <c r="X453" i="2"/>
  <c r="W452" i="2" l="1"/>
  <c r="V453" i="2"/>
  <c r="Y453" i="2"/>
  <c r="X454" i="2"/>
  <c r="V454" i="2" l="1"/>
  <c r="W453" i="2"/>
  <c r="Y454" i="2"/>
  <c r="X455" i="2"/>
  <c r="V455" i="2" l="1"/>
  <c r="W454" i="2"/>
  <c r="Y455" i="2"/>
  <c r="X456" i="2"/>
  <c r="W455" i="2" l="1"/>
  <c r="V456" i="2"/>
  <c r="Y456" i="2"/>
  <c r="X457" i="2"/>
  <c r="V457" i="2" l="1"/>
  <c r="W456" i="2"/>
  <c r="Y457" i="2"/>
  <c r="X458" i="2"/>
  <c r="W457" i="2" l="1"/>
  <c r="V458" i="2"/>
  <c r="Y458" i="2"/>
  <c r="X459" i="2"/>
  <c r="V459" i="2" l="1"/>
  <c r="W458" i="2"/>
  <c r="Y459" i="2"/>
  <c r="X460" i="2"/>
  <c r="W459" i="2" l="1"/>
  <c r="V460" i="2"/>
  <c r="Y460" i="2"/>
  <c r="X461" i="2"/>
  <c r="V461" i="2" l="1"/>
  <c r="W460" i="2"/>
  <c r="Y461" i="2"/>
  <c r="X462" i="2"/>
  <c r="W461" i="2" l="1"/>
  <c r="V462" i="2"/>
  <c r="Y462" i="2"/>
  <c r="X463" i="2"/>
  <c r="V463" i="2" l="1"/>
  <c r="W462" i="2"/>
  <c r="Y463" i="2"/>
  <c r="X464" i="2"/>
  <c r="W463" i="2" l="1"/>
  <c r="V464" i="2"/>
  <c r="Y464" i="2"/>
  <c r="X465" i="2"/>
  <c r="V465" i="2" l="1"/>
  <c r="W464" i="2"/>
  <c r="Y465" i="2"/>
  <c r="X466" i="2"/>
  <c r="W465" i="2" l="1"/>
  <c r="V466" i="2"/>
  <c r="Y466" i="2"/>
  <c r="X467" i="2"/>
  <c r="W466" i="2" l="1"/>
  <c r="V467" i="2"/>
  <c r="Y467" i="2"/>
  <c r="X468" i="2"/>
  <c r="V468" i="2" l="1"/>
  <c r="W467" i="2"/>
  <c r="Y468" i="2"/>
  <c r="X469" i="2"/>
  <c r="W468" i="2" l="1"/>
  <c r="V469" i="2"/>
  <c r="Y469" i="2"/>
  <c r="X470" i="2"/>
  <c r="V470" i="2" l="1"/>
  <c r="W469" i="2"/>
  <c r="Y470" i="2"/>
  <c r="X471" i="2"/>
  <c r="W470" i="2" l="1"/>
  <c r="V471" i="2"/>
  <c r="Y471" i="2"/>
  <c r="X472" i="2"/>
  <c r="W471" i="2" l="1"/>
  <c r="V472" i="2"/>
  <c r="Y472" i="2"/>
  <c r="X473" i="2"/>
  <c r="W472" i="2" l="1"/>
  <c r="V473" i="2"/>
  <c r="Y473" i="2"/>
  <c r="X474" i="2"/>
  <c r="W473" i="2" l="1"/>
  <c r="V474" i="2"/>
  <c r="Y474" i="2"/>
  <c r="X475" i="2"/>
  <c r="W474" i="2" l="1"/>
  <c r="V475" i="2"/>
  <c r="Y475" i="2"/>
  <c r="X476" i="2"/>
  <c r="V476" i="2" l="1"/>
  <c r="W475" i="2"/>
  <c r="Y476" i="2"/>
  <c r="X477" i="2"/>
  <c r="W476" i="2" l="1"/>
  <c r="V477" i="2"/>
  <c r="Y477" i="2"/>
  <c r="X478" i="2"/>
  <c r="V478" i="2" l="1"/>
  <c r="W477" i="2"/>
  <c r="Y478" i="2"/>
  <c r="X479" i="2"/>
  <c r="W478" i="2" l="1"/>
  <c r="V479" i="2"/>
  <c r="Y479" i="2"/>
  <c r="X480" i="2"/>
  <c r="W479" i="2" l="1"/>
  <c r="V480" i="2"/>
  <c r="Y480" i="2"/>
  <c r="X481" i="2"/>
  <c r="V481" i="2" l="1"/>
  <c r="W480" i="2"/>
  <c r="Y481" i="2"/>
  <c r="X482" i="2"/>
  <c r="W481" i="2" l="1"/>
  <c r="V482" i="2"/>
  <c r="Y482" i="2"/>
  <c r="X483" i="2"/>
  <c r="V483" i="2" l="1"/>
  <c r="W482" i="2"/>
  <c r="Y483" i="2"/>
  <c r="X484" i="2"/>
  <c r="W483" i="2" l="1"/>
  <c r="V484" i="2"/>
  <c r="Y484" i="2"/>
  <c r="X485" i="2"/>
  <c r="W484" i="2" l="1"/>
  <c r="V485" i="2"/>
  <c r="X486" i="2"/>
  <c r="Y485" i="2"/>
  <c r="W485" i="2" l="1"/>
  <c r="V486" i="2"/>
  <c r="Y486" i="2"/>
  <c r="X487" i="2"/>
  <c r="V487" i="2" l="1"/>
  <c r="W486" i="2"/>
  <c r="Y487" i="2"/>
  <c r="X488" i="2"/>
  <c r="W487" i="2" l="1"/>
  <c r="V488" i="2"/>
  <c r="Y488" i="2"/>
  <c r="X489" i="2"/>
  <c r="V489" i="2" l="1"/>
  <c r="W488" i="2"/>
  <c r="Y489" i="2"/>
  <c r="X490" i="2"/>
  <c r="W489" i="2" l="1"/>
  <c r="V490" i="2"/>
  <c r="Y490" i="2"/>
  <c r="X491" i="2"/>
  <c r="W490" i="2" l="1"/>
  <c r="V491" i="2"/>
  <c r="Y491" i="2"/>
  <c r="X492" i="2"/>
  <c r="W491" i="2" l="1"/>
  <c r="V492" i="2"/>
  <c r="Y492" i="2"/>
  <c r="X493" i="2"/>
  <c r="W492" i="2" l="1"/>
  <c r="V493" i="2"/>
  <c r="Y493" i="2"/>
  <c r="X494" i="2"/>
  <c r="V494" i="2" l="1"/>
  <c r="W493" i="2"/>
  <c r="Y494" i="2"/>
  <c r="X495" i="2"/>
  <c r="V495" i="2" l="1"/>
  <c r="W494" i="2"/>
  <c r="Y495" i="2"/>
  <c r="X496" i="2"/>
  <c r="W495" i="2" l="1"/>
  <c r="V496" i="2"/>
  <c r="Y496" i="2"/>
  <c r="X497" i="2"/>
  <c r="W496" i="2" l="1"/>
  <c r="V497" i="2"/>
  <c r="Y497" i="2"/>
  <c r="X498" i="2"/>
  <c r="V498" i="2" l="1"/>
  <c r="W497" i="2"/>
  <c r="Y498" i="2"/>
  <c r="X499" i="2"/>
  <c r="W498" i="2" l="1"/>
  <c r="V499" i="2"/>
  <c r="Y499" i="2"/>
  <c r="X500" i="2"/>
  <c r="Y500" i="2" s="1"/>
  <c r="W499" i="2" l="1"/>
  <c r="V500" i="2"/>
  <c r="W500"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Charlie</author>
    <author>tc={0A4DF643-7E9C-46FC-9C25-B8ED21903AD0}</author>
  </authors>
  <commentList>
    <comment ref="A2" authorId="0" shapeId="0" xr:uid="{45C20233-0C21-49B7-9C9F-6A349933F43A}">
      <text>
        <r>
          <rPr>
            <b/>
            <sz val="10"/>
            <color indexed="81"/>
            <rFont val="宋体"/>
            <family val="3"/>
            <charset val="134"/>
          </rPr>
          <t>一个家庭中选取一个成员的姓名用来做标记（例如张三、李四、王五一家，选取张三作为标记成员，那么张三、李四、王五任意一人的保单该标记成员都是张三），通过该标记可以得知同属于该标记下的所有家庭成员。</t>
        </r>
      </text>
    </comment>
    <comment ref="Y2" authorId="1" shapeId="0" xr:uid="{0A4DF643-7E9C-46FC-9C25-B8ED21903AD0}">
      <text>
        <t>[线程批注]
你的Excel版本可读取此线程批注; 但如果在更新版本的Excel中打开文件，则对批注所作的任何改动都将被删除。了解详细信息: https://go.microsoft.com/fwlink/?linkid=870924
注释:
    ①智能笔记《保单利益整理》记录方法：
【xxxx0000】中xxx表示利益的名称，0000表示对应利益的金额。例如智能笔记中记录【轻症100000】则会让《保单利益整理》单独显示一条【轻症】责任，图表中的金额为100000。
同一被保险人对应的智能笔记中所有名称相同的责任会自动进行汇总，但须保证使用名称必须完全一致。例如张三作为被保险人的智能笔记中有如下二条记录。分别为【轻症50000+重症150000】、【轻疾100000+重症400000】，那么张三的《保单利益整理》中会出现三条责任，分别是【轻症】责任对应金额50000、【轻疾】责任对应金额100000、【重症】责任对应金额500000。
*"保证领取"、"预期领取"、"保单权益"、"特别事宜"这四个四字词条作为特殊词条，已有固定功用占用，如《保单利益整理》中有类似意思表达，请替换其它近义词条。
②特殊词条记录方法：
1.《保单领取》由两个固定词条触发生成，分别为"保证领取"和"预期领取"。只要智能笔记中出现"保证领取"和"预期领取"时，会自动将对应责任记录到《保单领取》图表中。例如【60岁保证领取100000】或者【65-70岁每年预期领取50000】。
2.《特别事宜》由"特别事宜"固定词条触发，《保单权益》由"保单权益"固定词条触发。则要智能笔记中出现"特别事宜"、"保单权益"，则都会将其归类到《个人信息》页面右侧的《特别事宜》和《保单权益》中，并自动剔除"特别事宜"和"保单权益"词条的前缀。例如智能笔记中记录【特别事宜百万医疗免赔额1万+保单权益享有全国旅居养老】，此时会在"特别事宜"中显示"百万医疗免赔额1万",在"保单求权益"中显示"享有全国旅居养老"。
*注意*《特别事宜》和《保单权益》不能以纯数字结尾，即最后一位字符不能为阿拉伯数字，但阿拉伯数字出现在中间则不受影响。</t>
      </text>
    </comment>
  </commentList>
</comments>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<sst xmlns="http://schemas.openxmlformats.org/spreadsheetml/2006/main" count="497" uniqueCount="208">
  <si>
    <t>投保人姓名</t>
    <phoneticPr fontId="1" type="noConversion"/>
  </si>
  <si>
    <t>投保人手机</t>
    <phoneticPr fontId="1" type="noConversion"/>
  </si>
  <si>
    <t>保单编号</t>
    <phoneticPr fontId="1" type="noConversion"/>
  </si>
  <si>
    <t>产品类型</t>
    <phoneticPr fontId="1" type="noConversion"/>
  </si>
  <si>
    <t>产品名称</t>
    <phoneticPr fontId="1" type="noConversion"/>
  </si>
  <si>
    <t>保额</t>
    <phoneticPr fontId="1" type="noConversion"/>
  </si>
  <si>
    <t>被保人姓名</t>
    <phoneticPr fontId="1" type="noConversion"/>
  </si>
  <si>
    <t>被保人手机</t>
    <phoneticPr fontId="1" type="noConversion"/>
  </si>
  <si>
    <t>受益人姓名</t>
    <phoneticPr fontId="1" type="noConversion"/>
  </si>
  <si>
    <t>受益人手机</t>
    <phoneticPr fontId="1" type="noConversion"/>
  </si>
  <si>
    <t>保单生效日期</t>
    <phoneticPr fontId="1" type="noConversion"/>
  </si>
  <si>
    <t>保单终止日期</t>
    <phoneticPr fontId="1" type="noConversion"/>
  </si>
  <si>
    <t>缴费银行</t>
    <phoneticPr fontId="1" type="noConversion"/>
  </si>
  <si>
    <t>投保人身份证号</t>
    <phoneticPr fontId="1" type="noConversion"/>
  </si>
  <si>
    <t>被保人身份证号</t>
    <phoneticPr fontId="1" type="noConversion"/>
  </si>
  <si>
    <t>受益人身份证号</t>
    <phoneticPr fontId="1" type="noConversion"/>
  </si>
  <si>
    <t>银行账号</t>
    <phoneticPr fontId="1" type="noConversion"/>
  </si>
  <si>
    <t>缴费期限</t>
    <phoneticPr fontId="1" type="noConversion"/>
  </si>
  <si>
    <t>年缴保费</t>
    <phoneticPr fontId="1" type="noConversion"/>
  </si>
  <si>
    <t>保单名称</t>
    <phoneticPr fontId="1" type="noConversion"/>
  </si>
  <si>
    <t>投保人</t>
    <phoneticPr fontId="1" type="noConversion"/>
  </si>
  <si>
    <t>所属保险公司</t>
    <phoneticPr fontId="1" type="noConversion"/>
  </si>
  <si>
    <t>理赔情况</t>
    <phoneticPr fontId="1" type="noConversion"/>
  </si>
  <si>
    <t>医疗记录（实时更新）</t>
    <phoneticPr fontId="1" type="noConversion"/>
  </si>
  <si>
    <t>保单终止提醒</t>
    <phoneticPr fontId="1" type="noConversion"/>
  </si>
  <si>
    <t>保单续期提醒</t>
    <phoneticPr fontId="1" type="noConversion"/>
  </si>
  <si>
    <t>保费金额</t>
    <phoneticPr fontId="1" type="noConversion"/>
  </si>
  <si>
    <t>联系方式</t>
    <phoneticPr fontId="1" type="noConversion"/>
  </si>
  <si>
    <t>银行账户</t>
    <phoneticPr fontId="1" type="noConversion"/>
  </si>
  <si>
    <t>长险序列</t>
    <phoneticPr fontId="1" type="noConversion"/>
  </si>
  <si>
    <t>长险判断</t>
    <phoneticPr fontId="1" type="noConversion"/>
  </si>
  <si>
    <t>终止序列</t>
    <phoneticPr fontId="1" type="noConversion"/>
  </si>
  <si>
    <t>终止判断</t>
    <phoneticPr fontId="1" type="noConversion"/>
  </si>
  <si>
    <t>即将合同终止的保单（30天内即将到期）</t>
    <phoneticPr fontId="1" type="noConversion"/>
  </si>
  <si>
    <t>缴费进度</t>
    <phoneticPr fontId="1" type="noConversion"/>
  </si>
  <si>
    <t>家庭标记成员</t>
    <phoneticPr fontId="1" type="noConversion"/>
  </si>
  <si>
    <t>性别</t>
    <phoneticPr fontId="1" type="noConversion"/>
  </si>
  <si>
    <t>投保时年龄</t>
    <phoneticPr fontId="1" type="noConversion"/>
  </si>
  <si>
    <t>今年年龄</t>
    <phoneticPr fontId="1" type="noConversion"/>
  </si>
  <si>
    <t>其它成员</t>
    <phoneticPr fontId="1" type="noConversion"/>
  </si>
  <si>
    <t>序号</t>
    <phoneticPr fontId="1" type="noConversion"/>
  </si>
  <si>
    <t>保险公司</t>
    <phoneticPr fontId="1" type="noConversion"/>
  </si>
  <si>
    <t>受益人</t>
    <phoneticPr fontId="1" type="noConversion"/>
  </si>
  <si>
    <t>医疗记录</t>
    <phoneticPr fontId="1" type="noConversion"/>
  </si>
  <si>
    <t>理赔记录</t>
    <phoneticPr fontId="1" type="noConversion"/>
  </si>
  <si>
    <t>意外伤害</t>
    <phoneticPr fontId="1" type="noConversion"/>
  </si>
  <si>
    <t>意外医疗</t>
    <phoneticPr fontId="1" type="noConversion"/>
  </si>
  <si>
    <t>住院医疗</t>
    <phoneticPr fontId="1" type="noConversion"/>
  </si>
  <si>
    <t>重大疾病</t>
    <phoneticPr fontId="1" type="noConversion"/>
  </si>
  <si>
    <t>保单年度缴费</t>
    <phoneticPr fontId="1" type="noConversion"/>
  </si>
  <si>
    <t>7月</t>
  </si>
  <si>
    <t>8月</t>
  </si>
  <si>
    <t>家庭标记</t>
    <phoneticPr fontId="1" type="noConversion"/>
  </si>
  <si>
    <t>1月</t>
    <phoneticPr fontId="1" type="noConversion"/>
  </si>
  <si>
    <t>2月</t>
    <phoneticPr fontId="1" type="noConversion"/>
  </si>
  <si>
    <t>3月</t>
  </si>
  <si>
    <t>4月</t>
  </si>
  <si>
    <t>5月</t>
  </si>
  <si>
    <t>6月</t>
  </si>
  <si>
    <t>9月</t>
  </si>
  <si>
    <t>10月</t>
  </si>
  <si>
    <t>11月</t>
  </si>
  <si>
    <t>12月</t>
  </si>
  <si>
    <t>姓名</t>
    <phoneticPr fontId="1" type="noConversion"/>
  </si>
  <si>
    <t>缴费总额</t>
    <phoneticPr fontId="1" type="noConversion"/>
  </si>
  <si>
    <t>理财型配置本金总和</t>
    <phoneticPr fontId="1" type="noConversion"/>
  </si>
  <si>
    <t>家庭地址</t>
    <phoneticPr fontId="1" type="noConversion"/>
  </si>
  <si>
    <t>保单总量</t>
    <phoneticPr fontId="1" type="noConversion"/>
  </si>
  <si>
    <t>家庭总量</t>
    <phoneticPr fontId="1" type="noConversion"/>
  </si>
  <si>
    <t>名称</t>
    <phoneticPr fontId="1" type="noConversion"/>
  </si>
  <si>
    <t>数量</t>
    <phoneticPr fontId="1" type="noConversion"/>
  </si>
  <si>
    <t>被保人数量</t>
    <phoneticPr fontId="1" type="noConversion"/>
  </si>
  <si>
    <t>笔记</t>
    <phoneticPr fontId="1" type="noConversion"/>
  </si>
  <si>
    <t>权益</t>
    <phoneticPr fontId="1" type="noConversion"/>
  </si>
  <si>
    <t>项目</t>
    <phoneticPr fontId="1" type="noConversion"/>
  </si>
  <si>
    <t>金额</t>
    <phoneticPr fontId="1" type="noConversion"/>
  </si>
  <si>
    <t>领取金额</t>
    <phoneticPr fontId="1" type="noConversion"/>
  </si>
  <si>
    <t>特别事宜</t>
    <phoneticPr fontId="1" type="noConversion"/>
  </si>
  <si>
    <t>预期领取</t>
    <phoneticPr fontId="1" type="noConversion"/>
  </si>
  <si>
    <t>保证领取</t>
    <phoneticPr fontId="1" type="noConversion"/>
  </si>
  <si>
    <t>年度建议于下方书写</t>
    <phoneticPr fontId="1" type="noConversion"/>
  </si>
  <si>
    <t>萧峰</t>
    <phoneticPr fontId="1" type="noConversion"/>
  </si>
  <si>
    <t>大辽保险</t>
    <phoneticPr fontId="1" type="noConversion"/>
  </si>
  <si>
    <t>医疗险</t>
  </si>
  <si>
    <t>聚贤庄上外皮组织损伤</t>
    <phoneticPr fontId="1" type="noConversion"/>
  </si>
  <si>
    <t>增额终身寿</t>
  </si>
  <si>
    <t>重疾险</t>
  </si>
  <si>
    <t>南院尊</t>
    <phoneticPr fontId="1" type="noConversion"/>
  </si>
  <si>
    <t>NYZ001</t>
    <phoneticPr fontId="1" type="noConversion"/>
  </si>
  <si>
    <t>13001</t>
    <phoneticPr fontId="1" type="noConversion"/>
  </si>
  <si>
    <t>大辽铁契</t>
    <phoneticPr fontId="1" type="noConversion"/>
  </si>
  <si>
    <t>萧远山</t>
    <phoneticPr fontId="1" type="noConversion"/>
  </si>
  <si>
    <t>001</t>
    <phoneticPr fontId="1" type="noConversion"/>
  </si>
  <si>
    <t>13111</t>
    <phoneticPr fontId="1" type="noConversion"/>
  </si>
  <si>
    <t>420103196001012816</t>
    <phoneticPr fontId="1" type="noConversion"/>
  </si>
  <si>
    <t>阿朱</t>
    <phoneticPr fontId="1" type="noConversion"/>
  </si>
  <si>
    <t>13002</t>
    <phoneticPr fontId="1" type="noConversion"/>
  </si>
  <si>
    <t>小镜湖</t>
    <phoneticPr fontId="1" type="noConversion"/>
  </si>
  <si>
    <t>基础信息</t>
    <phoneticPr fontId="1" type="noConversion"/>
  </si>
  <si>
    <t>大辽e生</t>
    <phoneticPr fontId="1" type="noConversion"/>
  </si>
  <si>
    <t>DLES001</t>
    <phoneticPr fontId="1" type="noConversion"/>
  </si>
  <si>
    <t>伴随年龄</t>
    <phoneticPr fontId="1" type="noConversion"/>
  </si>
  <si>
    <t>是否隐藏基础信息</t>
    <phoneticPr fontId="1" type="noConversion"/>
  </si>
  <si>
    <t>大辽无忧</t>
    <phoneticPr fontId="1" type="noConversion"/>
  </si>
  <si>
    <t>DLWY001</t>
    <phoneticPr fontId="1" type="noConversion"/>
  </si>
  <si>
    <t>特别事宜百万医疗免赔额1万*</t>
    <phoneticPr fontId="1" type="noConversion"/>
  </si>
  <si>
    <t>2023住院报销5万</t>
    <phoneticPr fontId="1" type="noConversion"/>
  </si>
  <si>
    <t>否</t>
  </si>
  <si>
    <t>意外伤害</t>
  </si>
  <si>
    <t>大理互保</t>
    <phoneticPr fontId="1" type="noConversion"/>
  </si>
  <si>
    <t>大理安心行</t>
    <phoneticPr fontId="1" type="noConversion"/>
  </si>
  <si>
    <t>DLAXX</t>
    <phoneticPr fontId="1" type="noConversion"/>
  </si>
  <si>
    <t>段正淳</t>
    <phoneticPr fontId="1" type="noConversion"/>
  </si>
  <si>
    <t>12100</t>
    <phoneticPr fontId="1" type="noConversion"/>
  </si>
  <si>
    <t>大理商行</t>
    <phoneticPr fontId="1" type="noConversion"/>
  </si>
  <si>
    <t>021</t>
    <phoneticPr fontId="1" type="noConversion"/>
  </si>
  <si>
    <t>意外伤害*500000</t>
    <phoneticPr fontId="1" type="noConversion"/>
  </si>
  <si>
    <t>意外医疗(猫抓狗咬)*30000</t>
    <phoneticPr fontId="1" type="noConversion"/>
  </si>
  <si>
    <t>终身寿险</t>
  </si>
  <si>
    <t>大辽千万传承</t>
    <phoneticPr fontId="1" type="noConversion"/>
  </si>
  <si>
    <t>DLQWCC001</t>
    <phoneticPr fontId="1" type="noConversion"/>
  </si>
  <si>
    <t>13100</t>
    <phoneticPr fontId="1" type="noConversion"/>
  </si>
  <si>
    <t>010</t>
    <phoneticPr fontId="1" type="noConversion"/>
  </si>
  <si>
    <t>大宋少林寺藏经阁</t>
    <phoneticPr fontId="1" type="noConversion"/>
  </si>
  <si>
    <t>身故*10000000+70岁前身故额外*5000000</t>
    <phoneticPr fontId="1" type="noConversion"/>
  </si>
  <si>
    <t>段誉</t>
    <phoneticPr fontId="1" type="noConversion"/>
  </si>
  <si>
    <t>定期寿险</t>
  </si>
  <si>
    <t>意外医疗</t>
  </si>
  <si>
    <t>12001</t>
    <phoneticPr fontId="1" type="noConversion"/>
  </si>
  <si>
    <t>已缴费</t>
  </si>
  <si>
    <t>缴费确认</t>
    <phoneticPr fontId="1" type="noConversion"/>
  </si>
  <si>
    <t>确认年份</t>
    <phoneticPr fontId="1" type="noConversion"/>
  </si>
  <si>
    <t>420103199901012816</t>
    <phoneticPr fontId="1" type="noConversion"/>
  </si>
  <si>
    <t>刀白凤</t>
    <phoneticPr fontId="1" type="noConversion"/>
  </si>
  <si>
    <t>大理无忧</t>
    <phoneticPr fontId="1" type="noConversion"/>
  </si>
  <si>
    <t>020</t>
    <phoneticPr fontId="1" type="noConversion"/>
  </si>
  <si>
    <t>12101</t>
    <phoneticPr fontId="1" type="noConversion"/>
  </si>
  <si>
    <t>重症*600000+轻症*180000</t>
    <phoneticPr fontId="1" type="noConversion"/>
  </si>
  <si>
    <t>身故*600000</t>
    <phoneticPr fontId="1" type="noConversion"/>
  </si>
  <si>
    <t>大理镇南王府</t>
    <phoneticPr fontId="1" type="noConversion"/>
  </si>
  <si>
    <t>理财本金</t>
    <phoneticPr fontId="1" type="noConversion"/>
  </si>
  <si>
    <t>医疗报销</t>
    <phoneticPr fontId="1" type="noConversion"/>
  </si>
  <si>
    <t>生日提醒</t>
    <phoneticPr fontId="1" type="noConversion"/>
  </si>
  <si>
    <t>13001666666</t>
    <phoneticPr fontId="1" type="noConversion"/>
  </si>
  <si>
    <t>420103199008082816</t>
    <phoneticPr fontId="1" type="noConversion"/>
  </si>
  <si>
    <t>420103200012302826</t>
    <phoneticPr fontId="1" type="noConversion"/>
  </si>
  <si>
    <t>日期</t>
    <phoneticPr fontId="1" type="noConversion"/>
  </si>
  <si>
    <t>生日提醒（近15天）</t>
    <phoneticPr fontId="1" type="noConversion"/>
  </si>
  <si>
    <t>420103197910012826</t>
    <phoneticPr fontId="1" type="noConversion"/>
  </si>
  <si>
    <t>420103196510022816</t>
    <phoneticPr fontId="1" type="noConversion"/>
  </si>
  <si>
    <t>重症*800000+中症*400000+轻症*240000+60岁后额外重疾*800000+身故*800000</t>
    <phoneticPr fontId="1" type="noConversion"/>
  </si>
  <si>
    <t>年金保险</t>
  </si>
  <si>
    <t>大理瑞享年年</t>
    <phoneticPr fontId="1" type="noConversion"/>
  </si>
  <si>
    <t>DLRXNN001</t>
    <phoneticPr fontId="1" type="noConversion"/>
  </si>
  <si>
    <t>南院享</t>
    <phoneticPr fontId="1" type="noConversion"/>
  </si>
  <si>
    <t>NYX001</t>
    <phoneticPr fontId="1" type="noConversion"/>
  </si>
  <si>
    <t>【每年】70~80岁保证领取*250000</t>
    <phoneticPr fontId="1" type="noConversion"/>
  </si>
  <si>
    <t xml:space="preserve">生效时年龄 </t>
    <phoneticPr fontId="1" type="noConversion"/>
  </si>
  <si>
    <t>定期寿险</t>
    <phoneticPr fontId="1" type="noConversion"/>
  </si>
  <si>
    <t>终身寿险</t>
    <phoneticPr fontId="1" type="noConversion"/>
  </si>
  <si>
    <t>总寿险保额</t>
    <phoneticPr fontId="1" type="noConversion"/>
  </si>
  <si>
    <t>寿险总和</t>
    <phoneticPr fontId="1" type="noConversion"/>
  </si>
  <si>
    <t>木婉清</t>
    <phoneticPr fontId="1" type="noConversion"/>
  </si>
  <si>
    <t>12002</t>
    <phoneticPr fontId="1" type="noConversion"/>
  </si>
  <si>
    <t>钟灵</t>
    <phoneticPr fontId="1" type="noConversion"/>
  </si>
  <si>
    <t>420103200010012826</t>
    <phoneticPr fontId="1" type="noConversion"/>
  </si>
  <si>
    <t>420103200110012826</t>
    <phoneticPr fontId="1" type="noConversion"/>
  </si>
  <si>
    <t>12003</t>
    <phoneticPr fontId="1" type="noConversion"/>
  </si>
  <si>
    <t>大理百万传承</t>
    <phoneticPr fontId="1" type="noConversion"/>
  </si>
  <si>
    <t>大辽守护保</t>
    <phoneticPr fontId="1" type="noConversion"/>
  </si>
  <si>
    <t>年度保费总计</t>
    <phoneticPr fontId="1" type="noConversion"/>
  </si>
  <si>
    <t>明年保费预期</t>
    <phoneticPr fontId="1" type="noConversion"/>
  </si>
  <si>
    <t>固定长险费用</t>
    <phoneticPr fontId="1" type="noConversion"/>
  </si>
  <si>
    <t>可能浮动费用</t>
    <phoneticPr fontId="1" type="noConversion"/>
  </si>
  <si>
    <t>重疾丨寿险丨理财</t>
    <phoneticPr fontId="1" type="noConversion"/>
  </si>
  <si>
    <t>医疗丨意外</t>
    <phoneticPr fontId="1" type="noConversion"/>
  </si>
  <si>
    <t>检视时间</t>
    <phoneticPr fontId="1" type="noConversion"/>
  </si>
  <si>
    <t>特别事宜百万医疗免赔额1万*+百万医疗*2000000</t>
    <phoneticPr fontId="1" type="noConversion"/>
  </si>
  <si>
    <t>理财姓名</t>
    <phoneticPr fontId="1" type="noConversion"/>
  </si>
  <si>
    <t>意外医疗(猫抓狗咬)*30000+住院医疗*10000</t>
    <phoneticPr fontId="1" type="noConversion"/>
  </si>
  <si>
    <t>420103196510122816</t>
    <phoneticPr fontId="1" type="noConversion"/>
  </si>
  <si>
    <t>缴费期含当年
保单生效日期</t>
    <phoneticPr fontId="1" type="noConversion"/>
  </si>
  <si>
    <t>次年缴费</t>
    <phoneticPr fontId="1" type="noConversion"/>
  </si>
  <si>
    <t>宽限截止日</t>
    <phoneticPr fontId="1" type="noConversion"/>
  </si>
  <si>
    <r>
      <t xml:space="preserve">即将进入缴费期的保单【临近保单缴费期15天-宽限期60天】
</t>
    </r>
    <r>
      <rPr>
        <sz val="14"/>
        <color rgb="FFFF7C80"/>
        <rFont val="阿里巴巴普惠体 2.0 65 Medium"/>
        <family val="1"/>
        <charset val="134"/>
      </rPr>
      <t>（宽限截止日仅供服务人员参考，请勿引导客户宽限期卡时间缴费，以免保单失效给客户造成不必要的损失）</t>
    </r>
    <phoneticPr fontId="1" type="noConversion"/>
  </si>
  <si>
    <t>聚合</t>
    <phoneticPr fontId="1" type="noConversion"/>
  </si>
  <si>
    <t>裁剪</t>
    <phoneticPr fontId="1" type="noConversion"/>
  </si>
  <si>
    <t>重症*1000000+中症*500000+轻症*300000+60岁后额外重疾*1000000+身故*1000000+特别事宜甲状腺免责*</t>
    <phoneticPr fontId="1" type="noConversion"/>
  </si>
  <si>
    <t>🔗辅助列</t>
    <phoneticPr fontId="1" type="noConversion"/>
  </si>
  <si>
    <t>唯一家庭</t>
    <phoneticPr fontId="1" type="noConversion"/>
  </si>
  <si>
    <t>责任名称</t>
    <phoneticPr fontId="1" type="noConversion"/>
  </si>
  <si>
    <t>责任金额</t>
    <phoneticPr fontId="1" type="noConversion"/>
  </si>
  <si>
    <t>‘=OFFSET($Y$24,,,COUNTA($Y$24:$Y$36),1)</t>
    <phoneticPr fontId="1" type="noConversion"/>
  </si>
  <si>
    <t>’=OFFSET($Z$24,,,COUNTA($Y$24:$Y$36),1)</t>
    <phoneticPr fontId="1" type="noConversion"/>
  </si>
  <si>
    <t>萧峰</t>
  </si>
  <si>
    <t>DLES000</t>
    <phoneticPr fontId="1" type="noConversion"/>
  </si>
  <si>
    <t>人员数量</t>
    <phoneticPr fontId="1" type="noConversion"/>
  </si>
  <si>
    <t>420103196509122816</t>
    <phoneticPr fontId="1" type="noConversion"/>
  </si>
  <si>
    <t>70岁保证领取*3000000+70岁预期领取*6000000+保单权益南宋旅居权益*+南宋外交豁免保单权益*</t>
    <phoneticPr fontId="1" type="noConversion"/>
  </si>
  <si>
    <t>420103197909182826</t>
    <phoneticPr fontId="1" type="noConversion"/>
  </si>
  <si>
    <t>模糊保单</t>
    <phoneticPr fontId="1" type="noConversion"/>
  </si>
  <si>
    <t>契丹保险</t>
    <phoneticPr fontId="1" type="noConversion"/>
  </si>
  <si>
    <t>智能笔记自定义词条可在此记录：
重症+中症+轻症+身故</t>
    <phoneticPr fontId="1" type="noConversion"/>
  </si>
  <si>
    <t>合同已终止</t>
  </si>
  <si>
    <t>count</t>
    <phoneticPr fontId="1" type="noConversion"/>
  </si>
  <si>
    <t>70岁保证领取*3000000+70岁预期领取*6000000+保单权益南宋旅居权益*+南宋保单权益外交豁免权</t>
    <phoneticPr fontId="1" type="noConversion"/>
  </si>
  <si>
    <t>保险智能笔记
使用字符"+"号作为不同项目间的连接符号</t>
    <phoneticPr fontId="1" type="noConversion"/>
  </si>
  <si>
    <t>大理恒福</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</si>
</sst>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_);[Red]\(0\)"/>
    <numFmt numFmtId="178" formatCode="0_ "/>
    <numFmt numFmtId="179" formatCode="d"/>
    <numFmt numFmtId="180" formatCode="[$-409]mmmm;@"/>
    <numFmt numFmtId="181" formatCode="#,##0_);[Red]\(#,##0\)"/>
    <numFmt numFmtId="182" formatCode="m/d;@"/>
  </numFmts>
  <fonts count="44" x14ac:knownFonts="1">
    <font>
      <sz val="11"/>
      <color theme="1"/>
      <name val="等线"/>
      <family val="2"/>
      <scheme val="minor"/>
    </font>
    <font>
      <sz val="9"/>
      <name val="等线"/>
      <family val="3"/>
      <charset val="134"/>
      <scheme val="minor"/>
    </font>
    <font>
      <b/>
      <sz val="10"/>
      <color indexed="81"/>
      <name val="宋体"/>
      <family val="3"/>
      <charset val="134"/>
    </font>
    <font>
      <b/>
      <sz val="11"/>
      <color theme="1"/>
      <name val="阿里巴巴普惠体 2.0 55 Regular"/>
      <family val="1"/>
      <charset val="134"/>
    </font>
    <font>
      <u/>
      <sz val="11"/>
      <color theme="10"/>
      <name val="等线"/>
      <family val="2"/>
      <scheme val="minor"/>
    </font>
    <font>
      <sz val="11"/>
      <color theme="1"/>
      <name val="阿里巴巴普惠体 2.0 55 Regular"/>
      <family val="1"/>
      <charset val="134"/>
    </font>
    <font>
      <sz val="11"/>
      <color theme="2" tint="-0.749992370372631"/>
      <name val="阿里巴巴普惠体 2.0 65 Medium"/>
      <family val="1"/>
      <charset val="134"/>
    </font>
    <font>
      <sz val="14"/>
      <color theme="2" tint="-0.499984740745262"/>
      <name val="阿里巴巴普惠体 2.0 65 Medium"/>
      <family val="1"/>
      <charset val="134"/>
    </font>
    <font>
      <sz val="14"/>
      <color theme="1"/>
      <name val="阿里巴巴普惠体 2.0 65 Medium"/>
      <family val="1"/>
      <charset val="134"/>
    </font>
    <font>
      <sz val="11"/>
      <color rgb="FF02AE8D"/>
      <name val="阿里巴巴普惠体 2.0 65 Medium"/>
      <family val="1"/>
      <charset val="134"/>
    </font>
    <font>
      <b/>
      <sz val="11"/>
      <color rgb="FFFFC000"/>
      <name val="阿里巴巴普惠体 2.0 55 Regular"/>
      <family val="1"/>
      <charset val="134"/>
    </font>
    <font>
      <sz val="12"/>
      <color rgb="FF02AE8D"/>
      <name val="阿里巴巴普惠体 2.0 65 Medium"/>
      <family val="1"/>
      <charset val="134"/>
    </font>
    <font>
      <sz val="12"/>
      <color rgb="FFF4525B"/>
      <name val="阿里巴巴普惠体 2.0 65 Medium"/>
      <family val="1"/>
      <charset val="134"/>
    </font>
    <font>
      <sz val="48"/>
      <color rgb="FF02AE8D"/>
      <name val="阿里巴巴普惠体 2.0 65 Medium"/>
      <family val="1"/>
      <charset val="134"/>
    </font>
    <font>
      <sz val="12"/>
      <color theme="1"/>
      <name val="阿里巴巴普惠体 2.0 65 Medium"/>
      <family val="1"/>
      <charset val="134"/>
    </font>
    <font>
      <sz val="11"/>
      <color theme="1"/>
      <name val="阿里巴巴普惠体 2.0 65 Medium"/>
      <family val="1"/>
      <charset val="134"/>
    </font>
    <font>
      <sz val="14"/>
      <color theme="0"/>
      <name val="阿里巴巴普惠体 2.0 65 Medium"/>
      <family val="1"/>
      <charset val="134"/>
    </font>
    <font>
      <sz val="16"/>
      <color rgb="FF02AE8D"/>
      <name val="阿里巴巴普惠体 2.0 65 Medium"/>
      <family val="1"/>
      <charset val="134"/>
    </font>
    <font>
      <sz val="16"/>
      <color rgb="FFC17CFF"/>
      <name val="阿里巴巴普惠体 2.0 65 Medium"/>
      <family val="1"/>
      <charset val="134"/>
    </font>
    <font>
      <sz val="16"/>
      <color theme="1" tint="0.14999847407452621"/>
      <name val="阿里巴巴普惠体 2.0 65 Medium"/>
      <family val="1"/>
      <charset val="134"/>
    </font>
    <font>
      <sz val="14"/>
      <color theme="1" tint="0.14999847407452621"/>
      <name val="阿里巴巴普惠体 2.0 65 Medium"/>
      <family val="1"/>
      <charset val="134"/>
    </font>
    <font>
      <sz val="11"/>
      <color rgb="FFC17CFF"/>
      <name val="阿里巴巴普惠体 2.0 65 Medium"/>
      <family val="1"/>
      <charset val="134"/>
    </font>
    <font>
      <sz val="12"/>
      <color theme="0"/>
      <name val="阿里巴巴普惠体 2.0 65 Medium"/>
      <family val="1"/>
      <charset val="134"/>
    </font>
    <font>
      <sz val="11"/>
      <color theme="0"/>
      <name val="阿里巴巴普惠体 2.0 65 Medium"/>
      <family val="1"/>
      <charset val="134"/>
    </font>
    <font>
      <sz val="12"/>
      <color theme="1" tint="0.14999847407452621"/>
      <name val="阿里巴巴普惠体 2.0 65 Medium"/>
      <family val="1"/>
      <charset val="134"/>
    </font>
    <font>
      <sz val="16"/>
      <color rgb="FFFFC000"/>
      <name val="阿里巴巴普惠体 2.0 65 Medium"/>
      <family val="1"/>
      <charset val="134"/>
    </font>
    <font>
      <u/>
      <sz val="22"/>
      <color rgb="FFC17CFF"/>
      <name val="阿里巴巴普惠体 2.0 65 Medium"/>
      <family val="1"/>
      <charset val="134"/>
    </font>
    <font>
      <sz val="14"/>
      <color theme="3"/>
      <name val="阿里巴巴普惠体 2.0 65 Medium"/>
      <family val="1"/>
      <charset val="134"/>
    </font>
    <font>
      <sz val="11"/>
      <color theme="3"/>
      <name val="等线"/>
      <family val="2"/>
      <scheme val="minor"/>
    </font>
    <font>
      <sz val="18"/>
      <color rgb="FFC17CFF"/>
      <name val="阿里巴巴普惠体 2.0 65 Medium"/>
      <family val="1"/>
      <charset val="134"/>
    </font>
    <font>
      <sz val="11"/>
      <color theme="1" tint="0.249977111117893"/>
      <name val="阿里巴巴普惠体 2.0 65 Medium"/>
      <family val="1"/>
      <charset val="134"/>
    </font>
    <font>
      <sz val="12"/>
      <color rgb="FFC17CFF"/>
      <name val="阿里巴巴普惠体 2.0 65 Medium"/>
      <family val="1"/>
      <charset val="134"/>
    </font>
    <font>
      <sz val="14"/>
      <color rgb="FFFF7C80"/>
      <name val="阿里巴巴普惠体 2.0 65 Medium"/>
      <family val="1"/>
      <charset val="134"/>
    </font>
    <font>
      <sz val="12"/>
      <color rgb="FFFF7C80"/>
      <name val="阿里巴巴普惠体 2.0 65 Medium"/>
      <family val="1"/>
      <charset val="134"/>
    </font>
    <font>
      <sz val="12"/>
      <color rgb="FFFF0000"/>
      <name val="阿里巴巴普惠体 2.0 65 Medium"/>
      <family val="1"/>
      <charset val="134"/>
    </font>
    <font>
      <sz val="12"/>
      <color theme="1" tint="0.249977111117893"/>
      <name val="阿里巴巴普惠体 2.0 65 Medium"/>
      <family val="1"/>
      <charset val="134"/>
    </font>
    <font>
      <b/>
      <sz val="48"/>
      <color rgb="FF02AE8D"/>
      <name val="阿里巴巴普惠体 2.0 65 Medium"/>
      <family val="1"/>
      <charset val="134"/>
    </font>
    <font>
      <sz val="16"/>
      <color theme="1"/>
      <name val="阿里巴巴普惠体 2.0 65 Medium"/>
      <family val="1"/>
      <charset val="134"/>
    </font>
    <font>
      <sz val="11"/>
      <color rgb="FFFFC000"/>
      <name val="阿里巴巴普惠体 2.0 65 Medium"/>
      <family val="1"/>
      <charset val="134"/>
    </font>
    <font>
      <sz val="16"/>
      <color theme="1" tint="0.249977111117893"/>
      <name val="阿里巴巴普惠体 2.0 65 Medium"/>
      <family val="1"/>
      <charset val="134"/>
    </font>
    <font>
      <sz val="18"/>
      <color rgb="FF02AE8D"/>
      <name val="阿里巴巴普惠体 2.0 65 Medium"/>
      <family val="1"/>
      <charset val="134"/>
    </font>
    <font>
      <sz val="12"/>
      <color theme="1" tint="4.9989318521683403E-2"/>
      <name val="阿里巴巴普惠体 2.0 65 Medium"/>
      <family val="1"/>
      <charset val="134"/>
    </font>
    <font>
      <sz val="11"/>
      <color theme="1" tint="4.9989318521683403E-2"/>
      <name val="阿里巴巴普惠体 2.0 65 Medium"/>
      <family val="1"/>
      <charset val="134"/>
    </font>
    <font>
      <sz val="11"/>
      <color theme="3"/>
      <name val="阿里巴巴普惠体 2.0 65 Medium"/>
      <family val="1"/>
      <charset val="134"/>
    </font>
  </fonts>
  <fills count="16">
    <fill>
      <patternFill patternType="none"/>
    </fill>
    <fill>
      <patternFill patternType="gray125"/>
    </fill>
    <fill>
      <patternFill patternType="solid">
        <fgColor rgb="FF02AE8D"/>
        <bgColor indexed="64"/>
      </patternFill>
    </fill>
    <fill>
      <patternFill patternType="solid">
        <fgColor theme="4"/>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theme="2"/>
        <bgColor indexed="64"/>
      </patternFill>
    </fill>
    <fill>
      <patternFill patternType="solid">
        <fgColor rgb="FFFB7187"/>
        <bgColor indexed="64"/>
      </patternFill>
    </fill>
    <fill>
      <patternFill patternType="solid">
        <fgColor theme="0" tint="-4.9989318521683403E-2"/>
        <bgColor indexed="64"/>
      </patternFill>
    </fill>
    <fill>
      <patternFill patternType="solid">
        <fgColor rgb="FFFBB7BA"/>
        <bgColor indexed="64"/>
      </patternFill>
    </fill>
    <fill>
      <patternFill patternType="solid">
        <fgColor rgb="FFFF7C80"/>
        <bgColor indexed="64"/>
      </patternFill>
    </fill>
    <fill>
      <patternFill patternType="solid">
        <fgColor rgb="FFFFC96B"/>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rgb="FF2EABB8"/>
        <bgColor indexed="64"/>
      </patternFill>
    </fill>
    <fill>
      <patternFill patternType="solid">
        <fgColor theme="7" tint="0.79998168889431442"/>
        <bgColor indexed="64"/>
      </patternFill>
    </fill>
  </fills>
  <borders count="17">
    <border>
      <left/>
      <right/>
      <top/>
      <bottom/>
      <diagonal/>
    </border>
    <border>
      <left/>
      <right/>
      <top style="thin">
        <color theme="9"/>
      </top>
      <bottom/>
      <diagonal/>
    </border>
    <border>
      <left style="thin">
        <color theme="9"/>
      </left>
      <right/>
      <top style="thin">
        <color theme="9"/>
      </top>
      <bottom/>
      <diagonal/>
    </border>
    <border>
      <left/>
      <right style="thin">
        <color theme="9"/>
      </right>
      <top/>
      <bottom/>
      <diagonal/>
    </border>
    <border>
      <left/>
      <right/>
      <top/>
      <bottom style="medium">
        <color rgb="FF02AE8D"/>
      </bottom>
      <diagonal/>
    </border>
    <border>
      <left style="mediumDashed">
        <color rgb="FFC17CFF"/>
      </left>
      <right style="mediumDashed">
        <color rgb="FFC17CFF"/>
      </right>
      <top style="mediumDashed">
        <color rgb="FFC17CFF"/>
      </top>
      <bottom style="mediumDashed">
        <color rgb="FFC17CFF"/>
      </bottom>
      <diagonal/>
    </border>
    <border>
      <left/>
      <right style="mediumDashed">
        <color rgb="FFC17CFF"/>
      </right>
      <top style="mediumDashed">
        <color rgb="FFC17CFF"/>
      </top>
      <bottom style="mediumDashed">
        <color rgb="FFC17CFF"/>
      </bottom>
      <diagonal/>
    </border>
    <border>
      <left style="mediumDashed">
        <color rgb="FFC17CFF"/>
      </left>
      <right/>
      <top style="mediumDashed">
        <color rgb="FFC17CFF"/>
      </top>
      <bottom style="mediumDashed">
        <color rgb="FFC17CFF"/>
      </bottom>
      <diagonal/>
    </border>
    <border>
      <left/>
      <right/>
      <top/>
      <bottom style="mediumDashed">
        <color rgb="FFC17CFF"/>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right/>
      <top style="mediumDashed">
        <color rgb="FFC17CFF"/>
      </top>
      <bottom style="mediumDashed">
        <color rgb="FFC17CFF"/>
      </bottom>
      <diagonal/>
    </border>
  </borders>
  <cellStyleXfs count="2">
    <xf numFmtId="0" fontId="0" fillId="0" borderId="0"/>
    <xf numFmtId="0" fontId="4" fillId="0" borderId="0" applyNumberFormat="0" applyFill="0" applyBorder="0" applyAlignment="0" applyProtection="0"/>
  </cellStyleXfs>
  <cellXfs count="167">
    <xf numFmtId="0" fontId="0" fillId="0" borderId="0" xfId="0"/>
    <xf numFmtId="0" fontId="3" fillId="0" borderId="0" xfId="0" applyFont="1"/>
    <xf numFmtId="176" fontId="3" fillId="0" borderId="0" xfId="0" applyNumberFormat="1" applyFont="1"/>
    <xf numFmtId="0" fontId="0" fillId="0" borderId="0" xfId="0" applyAlignment="1">
      <alignment horizontal="center" vertical="center" wrapText="1"/>
    </xf>
    <xf numFmtId="0" fontId="5" fillId="0" borderId="0" xfId="0" applyFont="1" applyAlignment="1">
      <alignment horizontal="center" vertical="center"/>
    </xf>
    <xf numFmtId="0" fontId="9" fillId="0" borderId="0" xfId="0" applyFont="1" applyAlignment="1">
      <alignment horizontal="center" vertical="center"/>
    </xf>
    <xf numFmtId="0" fontId="11" fillId="0" borderId="0" xfId="0" applyFont="1" applyAlignment="1">
      <alignment horizontal="center" vertical="center" wrapText="1"/>
    </xf>
    <xf numFmtId="0" fontId="12" fillId="0" borderId="0" xfId="0" applyFont="1" applyAlignment="1">
      <alignment horizontal="center" vertical="center" wrapText="1"/>
    </xf>
    <xf numFmtId="0" fontId="8" fillId="0" borderId="0" xfId="0" applyFont="1" applyAlignment="1">
      <alignment horizontal="center" vertical="center"/>
    </xf>
    <xf numFmtId="0" fontId="7" fillId="0" borderId="0" xfId="0" applyFont="1" applyAlignment="1">
      <alignment wrapText="1"/>
    </xf>
    <xf numFmtId="179" fontId="3" fillId="0" borderId="0" xfId="0" applyNumberFormat="1" applyFont="1" applyAlignment="1">
      <alignment horizontal="center" vertical="center"/>
    </xf>
    <xf numFmtId="179" fontId="10" fillId="0" borderId="0" xfId="0" applyNumberFormat="1" applyFont="1" applyAlignment="1">
      <alignment horizontal="center" vertical="center"/>
    </xf>
    <xf numFmtId="0" fontId="16" fillId="2" borderId="0" xfId="0" applyFont="1" applyFill="1" applyAlignment="1">
      <alignment horizontal="center" vertical="center"/>
    </xf>
    <xf numFmtId="176" fontId="16" fillId="2" borderId="0" xfId="0" applyNumberFormat="1" applyFont="1" applyFill="1" applyAlignment="1">
      <alignment horizontal="center" vertical="center"/>
    </xf>
    <xf numFmtId="14" fontId="16" fillId="2" borderId="0" xfId="0" applyNumberFormat="1" applyFont="1" applyFill="1" applyAlignment="1">
      <alignment horizontal="center" vertical="center"/>
    </xf>
    <xf numFmtId="0" fontId="8" fillId="0" borderId="0" xfId="0" applyFont="1"/>
    <xf numFmtId="0" fontId="20" fillId="0" borderId="0" xfId="0" applyFont="1" applyAlignment="1">
      <alignment horizontal="center" vertical="center"/>
    </xf>
    <xf numFmtId="0" fontId="20" fillId="0" borderId="0" xfId="0" applyFont="1" applyAlignment="1">
      <alignment horizontal="center"/>
    </xf>
    <xf numFmtId="0" fontId="21" fillId="0" borderId="0" xfId="0" applyFont="1"/>
    <xf numFmtId="0" fontId="13" fillId="0" borderId="0" xfId="0" applyFont="1" applyAlignment="1">
      <alignment horizontal="centerContinuous" vertical="center" wrapText="1"/>
    </xf>
    <xf numFmtId="0" fontId="15" fillId="0" borderId="0" xfId="0" applyFont="1" applyAlignment="1">
      <alignment horizontal="center" vertical="center"/>
    </xf>
    <xf numFmtId="0" fontId="24" fillId="0" borderId="0" xfId="0" applyFont="1" applyAlignment="1">
      <alignment horizontal="center" vertical="center"/>
    </xf>
    <xf numFmtId="0" fontId="14" fillId="0" borderId="0" xfId="0" applyFont="1" applyAlignment="1">
      <alignment horizontal="center" vertical="center"/>
    </xf>
    <xf numFmtId="0" fontId="16" fillId="11" borderId="0" xfId="0" applyFont="1" applyFill="1" applyAlignment="1">
      <alignment horizontal="center" vertical="center"/>
    </xf>
    <xf numFmtId="180" fontId="19" fillId="0" borderId="0" xfId="0" applyNumberFormat="1" applyFont="1" applyAlignment="1">
      <alignment horizontal="center"/>
    </xf>
    <xf numFmtId="0" fontId="27" fillId="0" borderId="0" xfId="0" applyFont="1" applyAlignment="1">
      <alignment horizontal="center" vertical="center"/>
    </xf>
    <xf numFmtId="0" fontId="28" fillId="0" borderId="0" xfId="0" applyFont="1"/>
    <xf numFmtId="176" fontId="6" fillId="0" borderId="0" xfId="0" applyNumberFormat="1" applyFont="1" applyAlignment="1">
      <alignment horizontal="center" vertical="center"/>
    </xf>
    <xf numFmtId="14" fontId="6" fillId="0" borderId="0" xfId="0" applyNumberFormat="1" applyFont="1" applyAlignment="1">
      <alignment horizontal="center" vertical="center"/>
    </xf>
    <xf numFmtId="0" fontId="20" fillId="0" borderId="0" xfId="0" applyFont="1" applyAlignment="1">
      <alignment horizontal="center" vertical="center" wrapText="1"/>
    </xf>
    <xf numFmtId="0" fontId="0" fillId="0" borderId="0" xfId="0" applyAlignment="1">
      <alignment horizontal="center"/>
    </xf>
    <xf numFmtId="0" fontId="26" fillId="0" borderId="5" xfId="0" applyFont="1" applyBorder="1" applyAlignment="1" applyProtection="1">
      <alignment horizontal="center" vertical="center"/>
      <protection locked="0"/>
    </xf>
    <xf numFmtId="0" fontId="15" fillId="0" borderId="0" xfId="0" applyFont="1" applyAlignment="1">
      <alignment horizontal="center" vertical="center" wrapText="1"/>
    </xf>
    <xf numFmtId="14" fontId="15" fillId="0" borderId="0" xfId="0" applyNumberFormat="1" applyFont="1" applyAlignment="1">
      <alignment horizontal="center" vertical="center"/>
    </xf>
    <xf numFmtId="0" fontId="15" fillId="7" borderId="0" xfId="0" applyFont="1" applyFill="1" applyAlignment="1">
      <alignment horizontal="center" vertical="center"/>
    </xf>
    <xf numFmtId="0" fontId="7" fillId="0" borderId="0" xfId="0" applyFont="1"/>
    <xf numFmtId="0" fontId="23" fillId="7" borderId="0" xfId="0" applyFont="1" applyFill="1"/>
    <xf numFmtId="0" fontId="23" fillId="2" borderId="0" xfId="0" applyFont="1" applyFill="1" applyAlignment="1">
      <alignment horizontal="center" vertical="center"/>
    </xf>
    <xf numFmtId="0" fontId="15" fillId="0" borderId="0" xfId="0" applyFont="1"/>
    <xf numFmtId="0" fontId="15" fillId="2" borderId="0" xfId="0" applyFont="1" applyFill="1"/>
    <xf numFmtId="0" fontId="15" fillId="9" borderId="0" xfId="0" applyFont="1" applyFill="1"/>
    <xf numFmtId="0" fontId="23" fillId="3" borderId="0" xfId="0" applyFont="1" applyFill="1"/>
    <xf numFmtId="0" fontId="23" fillId="2" borderId="0" xfId="0" applyFont="1" applyFill="1"/>
    <xf numFmtId="0" fontId="15" fillId="7" borderId="0" xfId="0" applyFont="1" applyFill="1"/>
    <xf numFmtId="0" fontId="15" fillId="0" borderId="0" xfId="0" applyFont="1" applyAlignment="1">
      <alignment vertical="center"/>
    </xf>
    <xf numFmtId="0" fontId="15" fillId="8" borderId="0" xfId="0" applyFont="1" applyFill="1"/>
    <xf numFmtId="14" fontId="15" fillId="14" borderId="0" xfId="0" applyNumberFormat="1" applyFont="1" applyFill="1"/>
    <xf numFmtId="0" fontId="15" fillId="14" borderId="0" xfId="0" applyFont="1" applyFill="1"/>
    <xf numFmtId="177" fontId="15" fillId="14" borderId="0" xfId="0" applyNumberFormat="1" applyFont="1" applyFill="1"/>
    <xf numFmtId="0" fontId="6" fillId="0" borderId="0" xfId="0" applyFont="1"/>
    <xf numFmtId="0" fontId="6" fillId="13" borderId="0" xfId="0" applyFont="1" applyFill="1"/>
    <xf numFmtId="0" fontId="6" fillId="7" borderId="0" xfId="0" applyFont="1" applyFill="1"/>
    <xf numFmtId="0" fontId="6" fillId="2" borderId="0" xfId="0" applyFont="1" applyFill="1"/>
    <xf numFmtId="0" fontId="6" fillId="6" borderId="0" xfId="0" applyFont="1" applyFill="1"/>
    <xf numFmtId="0" fontId="6" fillId="12" borderId="0" xfId="0" applyFont="1" applyFill="1"/>
    <xf numFmtId="14" fontId="6" fillId="0" borderId="0" xfId="0" applyNumberFormat="1" applyFont="1"/>
    <xf numFmtId="176" fontId="6" fillId="2" borderId="0" xfId="0" applyNumberFormat="1" applyFont="1" applyFill="1"/>
    <xf numFmtId="176" fontId="6" fillId="0" borderId="0" xfId="0" applyNumberFormat="1" applyFont="1"/>
    <xf numFmtId="0" fontId="6" fillId="10" borderId="0" xfId="0" applyFont="1" applyFill="1"/>
    <xf numFmtId="14" fontId="6" fillId="4" borderId="0" xfId="0" applyNumberFormat="1" applyFont="1" applyFill="1"/>
    <xf numFmtId="0" fontId="6" fillId="4" borderId="0" xfId="0" applyFont="1" applyFill="1"/>
    <xf numFmtId="14" fontId="15" fillId="4" borderId="0" xfId="0" applyNumberFormat="1" applyFont="1" applyFill="1"/>
    <xf numFmtId="0" fontId="15" fillId="4" borderId="0" xfId="0" applyFont="1" applyFill="1"/>
    <xf numFmtId="176" fontId="6" fillId="14" borderId="0" xfId="0" applyNumberFormat="1" applyFont="1" applyFill="1"/>
    <xf numFmtId="0" fontId="14" fillId="0" borderId="0" xfId="0" applyFont="1" applyAlignment="1">
      <alignment horizontal="center"/>
    </xf>
    <xf numFmtId="176" fontId="14" fillId="0" borderId="0" xfId="0" applyNumberFormat="1" applyFont="1" applyAlignment="1">
      <alignment horizontal="center"/>
    </xf>
    <xf numFmtId="49" fontId="14" fillId="0" borderId="0" xfId="0" applyNumberFormat="1" applyFont="1" applyAlignment="1">
      <alignment horizontal="center"/>
    </xf>
    <xf numFmtId="14" fontId="14" fillId="0" borderId="0" xfId="0" applyNumberFormat="1" applyFont="1" applyAlignment="1">
      <alignment horizontal="center"/>
    </xf>
    <xf numFmtId="177" fontId="14" fillId="0" borderId="0" xfId="0" applyNumberFormat="1" applyFont="1" applyAlignment="1">
      <alignment horizontal="center"/>
    </xf>
    <xf numFmtId="0" fontId="14" fillId="0" borderId="0" xfId="0" applyFont="1"/>
    <xf numFmtId="178" fontId="14" fillId="0" borderId="0" xfId="0" applyNumberFormat="1" applyFont="1"/>
    <xf numFmtId="0" fontId="33" fillId="0" borderId="0" xfId="0" applyFont="1" applyAlignment="1">
      <alignment horizontal="center"/>
    </xf>
    <xf numFmtId="14" fontId="34" fillId="0" borderId="0" xfId="0" applyNumberFormat="1" applyFont="1"/>
    <xf numFmtId="0" fontId="34" fillId="0" borderId="0" xfId="0" applyFont="1"/>
    <xf numFmtId="0" fontId="14" fillId="0" borderId="0" xfId="0" applyFont="1" applyAlignment="1">
      <alignment vertical="center"/>
    </xf>
    <xf numFmtId="178" fontId="14" fillId="0" borderId="0" xfId="0" applyNumberFormat="1" applyFont="1" applyAlignment="1">
      <alignment vertical="center"/>
    </xf>
    <xf numFmtId="14" fontId="14" fillId="0" borderId="0" xfId="0" applyNumberFormat="1" applyFont="1" applyAlignment="1">
      <alignment vertical="center"/>
    </xf>
    <xf numFmtId="0" fontId="35" fillId="0" borderId="0" xfId="0" applyFont="1" applyAlignment="1">
      <alignment horizontal="center" vertical="center"/>
    </xf>
    <xf numFmtId="176" fontId="35" fillId="0" borderId="0" xfId="0" applyNumberFormat="1" applyFont="1" applyAlignment="1">
      <alignment horizontal="center" vertical="center"/>
    </xf>
    <xf numFmtId="49" fontId="35" fillId="0" borderId="0" xfId="0" applyNumberFormat="1" applyFont="1" applyAlignment="1">
      <alignment horizontal="center" vertical="center"/>
    </xf>
    <xf numFmtId="14" fontId="35" fillId="0" borderId="0" xfId="0" applyNumberFormat="1" applyFont="1" applyAlignment="1">
      <alignment horizontal="center" vertical="center"/>
    </xf>
    <xf numFmtId="177" fontId="35" fillId="0" borderId="0" xfId="0" applyNumberFormat="1" applyFont="1" applyAlignment="1">
      <alignment horizontal="center" vertical="center"/>
    </xf>
    <xf numFmtId="49" fontId="35" fillId="0" borderId="0" xfId="0" applyNumberFormat="1" applyFont="1" applyAlignment="1">
      <alignment horizontal="left" vertical="center" wrapText="1"/>
    </xf>
    <xf numFmtId="14" fontId="14" fillId="0" borderId="0" xfId="0" applyNumberFormat="1" applyFont="1"/>
    <xf numFmtId="0" fontId="22" fillId="2" borderId="2" xfId="0" applyFont="1" applyFill="1" applyBorder="1" applyAlignment="1">
      <alignment horizontal="center" vertical="center"/>
    </xf>
    <xf numFmtId="0" fontId="22" fillId="2" borderId="1" xfId="0" applyFont="1" applyFill="1" applyBorder="1" applyAlignment="1">
      <alignment horizontal="center" vertical="center"/>
    </xf>
    <xf numFmtId="176" fontId="22" fillId="2" borderId="1" xfId="0" applyNumberFormat="1" applyFont="1" applyFill="1" applyBorder="1" applyAlignment="1">
      <alignment horizontal="center" vertical="center"/>
    </xf>
    <xf numFmtId="49" fontId="22" fillId="2" borderId="1" xfId="0" applyNumberFormat="1" applyFont="1" applyFill="1" applyBorder="1" applyAlignment="1">
      <alignment horizontal="center" vertical="center"/>
    </xf>
    <xf numFmtId="14" fontId="22" fillId="2" borderId="1" xfId="0" applyNumberFormat="1" applyFont="1" applyFill="1" applyBorder="1" applyAlignment="1">
      <alignment horizontal="center" vertical="center"/>
    </xf>
    <xf numFmtId="177" fontId="22" fillId="2" borderId="1" xfId="0" applyNumberFormat="1" applyFont="1" applyFill="1" applyBorder="1" applyAlignment="1">
      <alignment horizontal="center" vertical="center"/>
    </xf>
    <xf numFmtId="49" fontId="22" fillId="2" borderId="3" xfId="0" applyNumberFormat="1" applyFont="1" applyFill="1" applyBorder="1" applyAlignment="1">
      <alignment horizontal="center" vertical="center" wrapText="1"/>
    </xf>
    <xf numFmtId="49" fontId="22" fillId="2" borderId="3" xfId="0" applyNumberFormat="1" applyFont="1" applyFill="1" applyBorder="1" applyAlignment="1">
      <alignment horizontal="center" vertical="center"/>
    </xf>
    <xf numFmtId="0" fontId="35" fillId="0" borderId="0" xfId="0" applyFont="1" applyAlignment="1" applyProtection="1">
      <alignment horizontal="center"/>
      <protection hidden="1"/>
    </xf>
    <xf numFmtId="0" fontId="37" fillId="0" borderId="0" xfId="0" applyFont="1" applyAlignment="1">
      <alignment horizontal="center"/>
    </xf>
    <xf numFmtId="0" fontId="37" fillId="0" borderId="0" xfId="0" applyFont="1"/>
    <xf numFmtId="9" fontId="37" fillId="0" borderId="0" xfId="0" applyNumberFormat="1" applyFont="1" applyAlignment="1">
      <alignment horizontal="center"/>
    </xf>
    <xf numFmtId="176" fontId="37" fillId="0" borderId="0" xfId="0" applyNumberFormat="1" applyFont="1" applyAlignment="1">
      <alignment horizontal="center"/>
    </xf>
    <xf numFmtId="14" fontId="37" fillId="0" borderId="0" xfId="0" applyNumberFormat="1" applyFont="1" applyAlignment="1">
      <alignment horizontal="center"/>
    </xf>
    <xf numFmtId="0" fontId="37" fillId="0" borderId="0" xfId="0" applyFont="1" applyAlignment="1">
      <alignment horizontal="center" vertical="center"/>
    </xf>
    <xf numFmtId="176" fontId="35" fillId="0" borderId="0" xfId="0" applyNumberFormat="1" applyFont="1" applyAlignment="1" applyProtection="1">
      <alignment horizontal="center"/>
      <protection hidden="1"/>
    </xf>
    <xf numFmtId="14" fontId="35" fillId="0" borderId="0" xfId="0" applyNumberFormat="1" applyFont="1" applyAlignment="1" applyProtection="1">
      <alignment horizontal="center"/>
      <protection hidden="1"/>
    </xf>
    <xf numFmtId="0" fontId="35" fillId="0" borderId="0" xfId="0" applyFont="1" applyProtection="1">
      <protection hidden="1"/>
    </xf>
    <xf numFmtId="0" fontId="35" fillId="0" borderId="0" xfId="0" applyFont="1" applyAlignment="1" applyProtection="1">
      <alignment horizontal="center" vertical="center"/>
      <protection hidden="1"/>
    </xf>
    <xf numFmtId="182" fontId="35" fillId="0" borderId="0" xfId="0" applyNumberFormat="1" applyFont="1" applyAlignment="1" applyProtection="1">
      <alignment horizontal="center" vertical="center"/>
      <protection hidden="1"/>
    </xf>
    <xf numFmtId="179" fontId="15" fillId="0" borderId="0" xfId="0" applyNumberFormat="1" applyFont="1" applyAlignment="1">
      <alignment horizontal="center" vertical="center"/>
    </xf>
    <xf numFmtId="179" fontId="38" fillId="0" borderId="0" xfId="0" applyNumberFormat="1" applyFont="1" applyAlignment="1">
      <alignment horizontal="center" vertical="center"/>
    </xf>
    <xf numFmtId="0" fontId="39" fillId="0" borderId="0" xfId="0" applyFont="1" applyAlignment="1">
      <alignment vertical="top"/>
    </xf>
    <xf numFmtId="0" fontId="8" fillId="0" borderId="0" xfId="0" applyFont="1" applyAlignment="1">
      <alignment vertical="center"/>
    </xf>
    <xf numFmtId="0" fontId="35" fillId="0" borderId="0" xfId="0" applyFont="1" applyAlignment="1">
      <alignment vertical="center"/>
    </xf>
    <xf numFmtId="0" fontId="35" fillId="0" borderId="0" xfId="0" applyFont="1"/>
    <xf numFmtId="14" fontId="38" fillId="0" borderId="0" xfId="0" applyNumberFormat="1" applyFont="1" applyAlignment="1">
      <alignment horizontal="center" vertical="center"/>
    </xf>
    <xf numFmtId="0" fontId="36" fillId="0" borderId="0" xfId="0" applyFont="1" applyAlignment="1">
      <alignment vertical="center"/>
    </xf>
    <xf numFmtId="0" fontId="15" fillId="15" borderId="0" xfId="0" applyFont="1" applyFill="1"/>
    <xf numFmtId="0" fontId="35" fillId="0" borderId="0" xfId="0" applyFont="1" applyAlignment="1" applyProtection="1">
      <alignment horizontal="center" vertical="center"/>
      <protection locked="0"/>
    </xf>
    <xf numFmtId="176" fontId="35" fillId="0" borderId="0" xfId="0" applyNumberFormat="1" applyFont="1" applyAlignment="1" applyProtection="1">
      <alignment horizontal="center" vertical="center"/>
      <protection locked="0"/>
    </xf>
    <xf numFmtId="49" fontId="35" fillId="0" borderId="0" xfId="0" applyNumberFormat="1" applyFont="1" applyAlignment="1" applyProtection="1">
      <alignment horizontal="center" vertical="center"/>
      <protection locked="0"/>
    </xf>
    <xf numFmtId="14" fontId="35" fillId="0" borderId="0" xfId="0" applyNumberFormat="1" applyFont="1" applyAlignment="1" applyProtection="1">
      <alignment horizontal="center" vertical="center"/>
      <protection locked="0"/>
    </xf>
    <xf numFmtId="177" fontId="35" fillId="0" borderId="0" xfId="0" applyNumberFormat="1" applyFont="1" applyAlignment="1" applyProtection="1">
      <alignment horizontal="center" vertical="center"/>
      <protection locked="0"/>
    </xf>
    <xf numFmtId="49" fontId="35" fillId="0" borderId="0" xfId="0" applyNumberFormat="1" applyFont="1" applyAlignment="1" applyProtection="1">
      <alignment horizontal="left" vertical="center" wrapText="1"/>
      <protection locked="0"/>
    </xf>
    <xf numFmtId="0" fontId="24" fillId="0" borderId="0" xfId="0" applyFont="1" applyAlignment="1" applyProtection="1">
      <alignment horizontal="center" vertical="center"/>
      <protection locked="0"/>
    </xf>
    <xf numFmtId="0" fontId="14" fillId="0" borderId="0" xfId="0" applyFont="1" applyAlignment="1" applyProtection="1">
      <alignment horizontal="center" vertical="center"/>
      <protection locked="0"/>
    </xf>
    <xf numFmtId="0" fontId="9" fillId="0" borderId="9" xfId="0" applyFont="1" applyBorder="1" applyAlignment="1" applyProtection="1">
      <alignment horizontal="center" vertical="center"/>
      <protection locked="0"/>
    </xf>
    <xf numFmtId="0" fontId="6" fillId="5" borderId="0" xfId="0" applyFont="1" applyFill="1"/>
    <xf numFmtId="0" fontId="41" fillId="0" borderId="4" xfId="0" applyFont="1" applyBorder="1" applyAlignment="1">
      <alignment horizontal="center" vertical="center"/>
    </xf>
    <xf numFmtId="0" fontId="41" fillId="0" borderId="4" xfId="0" applyFont="1" applyBorder="1" applyAlignment="1">
      <alignment horizontal="center" vertical="center" wrapText="1"/>
    </xf>
    <xf numFmtId="0" fontId="41" fillId="0" borderId="0" xfId="0" applyFont="1" applyAlignment="1">
      <alignment horizontal="center" vertical="center"/>
    </xf>
    <xf numFmtId="0" fontId="41" fillId="0" borderId="0" xfId="0" applyFont="1" applyAlignment="1">
      <alignment horizontal="center" vertical="center" wrapText="1"/>
    </xf>
    <xf numFmtId="181" fontId="41" fillId="0" borderId="0" xfId="0" applyNumberFormat="1" applyFont="1" applyAlignment="1">
      <alignment horizontal="center" vertical="center"/>
    </xf>
    <xf numFmtId="0" fontId="42" fillId="0" borderId="0" xfId="0" applyFont="1" applyAlignment="1">
      <alignment horizontal="center" vertical="center" wrapText="1"/>
    </xf>
    <xf numFmtId="177" fontId="41" fillId="0" borderId="0" xfId="0" applyNumberFormat="1" applyFont="1" applyAlignment="1">
      <alignment horizontal="center" vertical="center"/>
    </xf>
    <xf numFmtId="179" fontId="41" fillId="0" borderId="0" xfId="0" applyNumberFormat="1" applyFont="1" applyAlignment="1">
      <alignment horizontal="center" vertical="center"/>
    </xf>
    <xf numFmtId="179" fontId="41" fillId="0" borderId="0" xfId="0" applyNumberFormat="1" applyFont="1" applyAlignment="1">
      <alignment horizontal="center" vertical="center" wrapText="1"/>
    </xf>
    <xf numFmtId="0" fontId="14" fillId="0" borderId="0" xfId="0" applyFont="1" applyAlignment="1">
      <alignment wrapText="1"/>
    </xf>
    <xf numFmtId="49" fontId="35" fillId="0" borderId="0" xfId="1" applyNumberFormat="1" applyFont="1" applyBorder="1" applyAlignment="1" applyProtection="1">
      <alignment vertical="center" wrapText="1"/>
      <protection locked="0"/>
    </xf>
    <xf numFmtId="49" fontId="35" fillId="0" borderId="0" xfId="0" applyNumberFormat="1" applyFont="1" applyAlignment="1" applyProtection="1">
      <alignment vertical="center" wrapText="1"/>
      <protection locked="0"/>
    </xf>
    <xf numFmtId="49" fontId="35" fillId="0" borderId="0" xfId="0" applyNumberFormat="1" applyFont="1" applyAlignment="1">
      <alignment vertical="center" wrapText="1"/>
    </xf>
    <xf numFmtId="49" fontId="22" fillId="2" borderId="1" xfId="0" applyNumberFormat="1" applyFont="1" applyFill="1" applyBorder="1" applyAlignment="1">
      <alignment horizontal="center" vertical="center" wrapText="1"/>
    </xf>
    <xf numFmtId="49" fontId="22" fillId="2" borderId="0" xfId="0" applyNumberFormat="1" applyFont="1" applyFill="1" applyAlignment="1">
      <alignment horizontal="center" vertical="center" wrapText="1"/>
    </xf>
    <xf numFmtId="49" fontId="35" fillId="0" borderId="0" xfId="0" applyNumberFormat="1" applyFont="1" applyAlignment="1" applyProtection="1">
      <alignment horizontal="center" vertical="center" wrapText="1"/>
      <protection locked="0"/>
    </xf>
    <xf numFmtId="49" fontId="35" fillId="0" borderId="0" xfId="0" applyNumberFormat="1" applyFont="1" applyAlignment="1">
      <alignment horizontal="center" vertical="center" wrapText="1"/>
    </xf>
    <xf numFmtId="49" fontId="14" fillId="0" borderId="0" xfId="0" applyNumberFormat="1" applyFont="1" applyAlignment="1">
      <alignment horizontal="center" vertical="center" wrapText="1"/>
    </xf>
    <xf numFmtId="0" fontId="14" fillId="0" borderId="0" xfId="0" applyFont="1" applyAlignment="1">
      <alignment horizontal="left" vertical="center" wrapText="1"/>
    </xf>
    <xf numFmtId="0" fontId="15" fillId="0" borderId="0" xfId="0" applyFont="1" applyAlignment="1">
      <alignment horizontal="left" vertical="center" wrapText="1"/>
    </xf>
    <xf numFmtId="0" fontId="13" fillId="0" borderId="0" xfId="0" applyFont="1" applyAlignment="1">
      <alignment horizontal="center" vertical="center" wrapText="1"/>
    </xf>
    <xf numFmtId="0" fontId="22" fillId="2" borderId="1" xfId="0" applyFont="1" applyFill="1" applyBorder="1" applyAlignment="1">
      <alignment horizontal="center" vertical="center" wrapText="1"/>
    </xf>
    <xf numFmtId="0" fontId="35" fillId="0" borderId="0" xfId="0" applyFont="1" applyAlignment="1" applyProtection="1">
      <alignment horizontal="center" vertical="center" wrapText="1"/>
      <protection locked="0"/>
    </xf>
    <xf numFmtId="0" fontId="35" fillId="0" borderId="0" xfId="0" applyFont="1" applyAlignment="1">
      <alignment horizontal="center" vertical="center" wrapText="1"/>
    </xf>
    <xf numFmtId="0" fontId="14" fillId="0" borderId="0" xfId="0" applyFont="1" applyAlignment="1">
      <alignment horizontal="center" wrapText="1"/>
    </xf>
    <xf numFmtId="0" fontId="14" fillId="0" borderId="0" xfId="0" quotePrefix="1" applyFont="1"/>
    <xf numFmtId="0" fontId="31" fillId="0" borderId="0" xfId="0" applyFont="1" applyAlignment="1">
      <alignment horizontal="center"/>
    </xf>
    <xf numFmtId="0" fontId="11" fillId="0" borderId="0" xfId="0" applyFont="1" applyAlignment="1">
      <alignment horizontal="center" vertical="center"/>
    </xf>
    <xf numFmtId="0" fontId="29" fillId="0" borderId="0" xfId="0" applyFont="1" applyAlignment="1">
      <alignment horizontal="center" vertical="center"/>
    </xf>
    <xf numFmtId="0" fontId="29" fillId="0" borderId="8" xfId="0" applyFont="1" applyBorder="1" applyAlignment="1">
      <alignment horizontal="center" vertical="center"/>
    </xf>
    <xf numFmtId="0" fontId="40" fillId="0" borderId="0" xfId="0" applyFont="1" applyAlignment="1">
      <alignment horizontal="center" vertical="center"/>
    </xf>
    <xf numFmtId="0" fontId="30" fillId="0" borderId="10" xfId="0" applyFont="1" applyBorder="1" applyAlignment="1" applyProtection="1">
      <alignment horizontal="left" vertical="center"/>
      <protection locked="0"/>
    </xf>
    <xf numFmtId="0" fontId="30" fillId="0" borderId="11" xfId="0" applyFont="1" applyBorder="1" applyAlignment="1" applyProtection="1">
      <alignment horizontal="left" vertical="center"/>
      <protection locked="0"/>
    </xf>
    <xf numFmtId="0" fontId="30" fillId="0" borderId="12" xfId="0" applyFont="1" applyBorder="1" applyAlignment="1" applyProtection="1">
      <alignment horizontal="left" vertical="center"/>
      <protection locked="0"/>
    </xf>
    <xf numFmtId="0" fontId="30" fillId="0" borderId="13" xfId="0" applyFont="1" applyBorder="1" applyAlignment="1" applyProtection="1">
      <alignment horizontal="left" vertical="center"/>
      <protection locked="0"/>
    </xf>
    <xf numFmtId="0" fontId="30" fillId="0" borderId="14" xfId="0" applyFont="1" applyBorder="1" applyAlignment="1" applyProtection="1">
      <alignment horizontal="left" vertical="center"/>
      <protection locked="0"/>
    </xf>
    <xf numFmtId="0" fontId="30" fillId="0" borderId="15" xfId="0" applyFont="1" applyBorder="1" applyAlignment="1" applyProtection="1">
      <alignment horizontal="left" vertical="center"/>
      <protection locked="0"/>
    </xf>
    <xf numFmtId="0" fontId="18" fillId="0" borderId="0" xfId="0" applyFont="1" applyAlignment="1">
      <alignment horizontal="center" vertical="center"/>
    </xf>
    <xf numFmtId="0" fontId="13" fillId="0" borderId="0" xfId="0" applyFont="1" applyAlignment="1">
      <alignment horizontal="left" vertical="top" wrapText="1"/>
    </xf>
    <xf numFmtId="0" fontId="25" fillId="0" borderId="0" xfId="0" applyFont="1" applyAlignment="1">
      <alignment horizontal="center" vertical="center"/>
    </xf>
    <xf numFmtId="0" fontId="17" fillId="0" borderId="0" xfId="0" applyFont="1" applyAlignment="1">
      <alignment horizontal="center" vertical="center" wrapText="1"/>
    </xf>
    <xf numFmtId="0" fontId="43" fillId="0" borderId="7" xfId="0" applyFont="1" applyBorder="1" applyAlignment="1" applyProtection="1">
      <alignment horizontal="left" vertical="top" wrapText="1"/>
      <protection locked="0"/>
    </xf>
    <xf numFmtId="0" fontId="43" fillId="0" borderId="16" xfId="0" applyFont="1" applyBorder="1" applyAlignment="1" applyProtection="1">
      <alignment horizontal="left" vertical="top" wrapText="1"/>
      <protection locked="0"/>
    </xf>
    <xf numFmtId="0" fontId="43" fillId="0" borderId="6" xfId="0" applyFont="1" applyBorder="1" applyAlignment="1" applyProtection="1">
      <alignment horizontal="left" vertical="top" wrapText="1"/>
      <protection locked="0"/>
    </xf>
  </cellXfs>
  <cellStyles count="2">
    <cellStyle name="常规" xfId="0" builtinId="0"/>
    <cellStyle name="超链接" xfId="1" builtinId="8"/>
  </cellStyles>
  <dxfs count="12">
    <dxf>
      <font>
        <color rgb="FFFB7187"/>
      </font>
      <fill>
        <patternFill patternType="none">
          <bgColor auto="1"/>
        </patternFill>
      </fill>
      <border>
        <vertical/>
        <horizontal/>
      </border>
    </dxf>
    <dxf>
      <border>
        <left style="hair">
          <color rgb="FF02AE8D"/>
        </left>
        <right style="hair">
          <color rgb="FF02AE8D"/>
        </right>
        <top style="thin">
          <color rgb="FF02AE8D"/>
        </top>
        <bottom style="thin">
          <color rgb="FF02AE8D"/>
        </bottom>
        <vertical/>
        <horizontal/>
      </border>
    </dxf>
    <dxf>
      <border>
        <left style="hair">
          <color rgb="FF02AE8D"/>
        </left>
        <right style="hair">
          <color rgb="FF02AE8D"/>
        </right>
        <top style="thin">
          <color rgb="FF02AE8D"/>
        </top>
        <bottom style="thin">
          <color rgb="FF02AE8D"/>
        </bottom>
        <vertical/>
        <horizontal/>
      </border>
    </dxf>
    <dxf>
      <border>
        <left style="hair">
          <color theme="7"/>
        </left>
        <right style="hair">
          <color theme="7"/>
        </right>
        <top style="thin">
          <color theme="7"/>
        </top>
        <bottom style="thin">
          <color theme="7"/>
        </bottom>
        <vertical/>
        <horizontal/>
      </border>
    </dxf>
    <dxf>
      <border>
        <left style="hair">
          <color rgb="FF02AE8D"/>
        </left>
        <right style="hair">
          <color rgb="FF02AE8D"/>
        </right>
        <top style="thin">
          <color rgb="FF02AE8D"/>
        </top>
        <bottom style="thin">
          <color rgb="FF02AE8D"/>
        </bottom>
        <vertical/>
        <horizontal/>
      </border>
    </dxf>
    <dxf>
      <border>
        <left/>
        <right/>
        <top style="thin">
          <color theme="2" tint="-9.9917600024414813E-2"/>
        </top>
        <bottom style="thin">
          <color theme="2" tint="-9.9948118533890809E-2"/>
        </bottom>
        <vertical/>
        <horizontal/>
      </border>
    </dxf>
    <dxf>
      <font>
        <b/>
        <i val="0"/>
        <color theme="2" tint="-9.9948118533890809E-2"/>
      </font>
      <numFmt numFmtId="179" formatCode="d"/>
      <fill>
        <patternFill patternType="none">
          <bgColor auto="1"/>
        </patternFill>
      </fill>
    </dxf>
    <dxf>
      <font>
        <b/>
        <i val="0"/>
        <color theme="2" tint="-9.9948118533890809E-2"/>
      </font>
      <numFmt numFmtId="179" formatCode="d"/>
      <fill>
        <patternFill patternType="none">
          <bgColor auto="1"/>
        </patternFill>
      </fill>
    </dxf>
    <dxf>
      <font>
        <b/>
        <i val="0"/>
        <color theme="2" tint="-9.9948118533890809E-2"/>
      </font>
      <numFmt numFmtId="179" formatCode="d"/>
      <fill>
        <patternFill patternType="none">
          <bgColor auto="1"/>
        </patternFill>
      </fill>
    </dxf>
    <dxf>
      <font>
        <b/>
        <i val="0"/>
        <color theme="2" tint="-9.9948118533890809E-2"/>
      </font>
      <numFmt numFmtId="179" formatCode="d"/>
      <fill>
        <patternFill patternType="none">
          <bgColor auto="1"/>
        </patternFill>
      </fill>
    </dxf>
    <dxf>
      <font>
        <b/>
        <i val="0"/>
        <color theme="2" tint="-9.9948118533890809E-2"/>
      </font>
      <numFmt numFmtId="179" formatCode="d"/>
      <fill>
        <patternFill patternType="none">
          <bgColor auto="1"/>
        </patternFill>
      </fill>
    </dxf>
    <dxf>
      <font>
        <b/>
        <i val="0"/>
        <color theme="2" tint="-9.9948118533890809E-2"/>
      </font>
      <numFmt numFmtId="179" formatCode="d"/>
      <fill>
        <patternFill patternType="none">
          <bgColor auto="1"/>
        </patternFill>
      </fill>
    </dxf>
  </dxfs>
  <tableStyles count="0" defaultTableStyle="TableStyleMedium2" defaultPivotStyle="PivotStyleLight16"/>
  <colors>
    <mruColors>
      <color rgb="FFC17CFF"/>
      <color rgb="FF44546A"/>
      <color rgb="FFFFF2CC"/>
      <color rgb="FFFF7C80"/>
      <color rgb="FF02AE8D"/>
      <color rgb="FFFFF7E3"/>
      <color rgb="FFD7ABFF"/>
      <color rgb="FFFFC96B"/>
      <color rgb="FFFB7187"/>
      <color rgb="FF6A82F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11/relationships/chartColorStyle" Target="colors3.xml"/><Relationship Id="rId1" Type="http://schemas.microsoft.com/office/2011/relationships/chartStyle" Target="style3.xml"/><Relationship Id="rId4" Type="http://schemas.openxmlformats.org/officeDocument/2006/relationships/image" Target="../media/image3.svg"/></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7.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9.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家庭概览!$AC$10</c:f>
              <c:strCache>
                <c:ptCount val="1"/>
                <c:pt idx="0">
                  <c:v>终身寿险</c:v>
                </c:pt>
              </c:strCache>
            </c:strRef>
          </c:tx>
          <c:spPr>
            <a:gradFill>
              <a:gsLst>
                <a:gs pos="100000">
                  <a:srgbClr val="C17CFF"/>
                </a:gs>
                <a:gs pos="0">
                  <a:srgbClr val="FF7C80"/>
                </a:gs>
              </a:gsLst>
              <a:lin ang="5400000" scaled="1"/>
            </a:gradFill>
            <a:ln w="63500" cap="rnd" cmpd="sng">
              <a:gradFill>
                <a:gsLst>
                  <a:gs pos="100000">
                    <a:srgbClr val="C17CFF"/>
                  </a:gs>
                  <a:gs pos="0">
                    <a:srgbClr val="FF7C80"/>
                  </a:gs>
                </a:gsLst>
                <a:lin ang="5400000" scaled="1"/>
              </a:gradFill>
            </a:ln>
            <a:effectLst/>
          </c:spPr>
          <c:invertIfNegative val="0"/>
          <c:dLbls>
            <c:numFmt formatCode="#,###_);\(#,###\)" sourceLinked="0"/>
            <c:spPr>
              <a:noFill/>
              <a:ln>
                <a:noFill/>
              </a:ln>
              <a:effectLst/>
            </c:spPr>
            <c:txPr>
              <a:bodyPr rot="0" spcFirstLastPara="1" vertOverflow="clip" horzOverflow="clip" vert="horz" wrap="square" lIns="36576" tIns="18288" rIns="36576" bIns="18288" anchor="ctr" anchorCtr="1">
                <a:spAutoFit/>
              </a:bodyPr>
              <a:lstStyle/>
              <a:p>
                <a:pPr>
                  <a:defRPr sz="1200" b="0" i="0" u="none" strike="noStrike" kern="1200" baseline="0">
                    <a:solidFill>
                      <a:schemeClr val="tx1"/>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endParaRPr lang="zh-CN"/>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ound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家庭概览!姓名</c:f>
              <c:strCache>
                <c:ptCount val="3"/>
                <c:pt idx="0">
                  <c:v>萧远山</c:v>
                </c:pt>
                <c:pt idx="1">
                  <c:v>萧峰</c:v>
                </c:pt>
                <c:pt idx="2">
                  <c:v>阿朱</c:v>
                </c:pt>
              </c:strCache>
            </c:strRef>
          </c:cat>
          <c:val>
            <c:numRef>
              <c:f>家庭概览!终身寿险</c:f>
              <c:numCache>
                <c:formatCode>General</c:formatCode>
                <c:ptCount val="3"/>
                <c:pt idx="0">
                  <c:v>10000000</c:v>
                </c:pt>
                <c:pt idx="1">
                  <c:v>5000000</c:v>
                </c:pt>
                <c:pt idx="2">
                  <c:v>0</c:v>
                </c:pt>
              </c:numCache>
            </c:numRef>
          </c:val>
          <c:extLst>
            <c:ext xmlns:c16="http://schemas.microsoft.com/office/drawing/2014/chart" uri="{C3380CC4-5D6E-409C-BE32-E72D297353CC}">
              <c16:uniqueId val="{00000000-3AC2-48ED-8530-023BFD9E4530}"/>
            </c:ext>
          </c:extLst>
        </c:ser>
        <c:ser>
          <c:idx val="1"/>
          <c:order val="1"/>
          <c:tx>
            <c:strRef>
              <c:f>家庭概览!$AD$10</c:f>
              <c:strCache>
                <c:ptCount val="1"/>
                <c:pt idx="0">
                  <c:v>定期寿险</c:v>
                </c:pt>
              </c:strCache>
            </c:strRef>
          </c:tx>
          <c:spPr>
            <a:pattFill prst="wdDnDiag">
              <a:fgClr>
                <a:srgbClr val="FBB7BA"/>
              </a:fgClr>
              <a:bgClr>
                <a:schemeClr val="bg1"/>
              </a:bgClr>
            </a:pattFill>
            <a:ln>
              <a:noFill/>
            </a:ln>
            <a:effectLst/>
          </c:spPr>
          <c:invertIfNegative val="0"/>
          <c:dLbls>
            <c:numFmt formatCode="#,###_);\(#,###\)" sourceLinked="0"/>
            <c:spPr>
              <a:noFill/>
              <a:ln>
                <a:noFill/>
              </a:ln>
              <a:effectLst/>
            </c:spPr>
            <c:txPr>
              <a:bodyPr rot="0" spcFirstLastPara="1" vertOverflow="clip" horzOverflow="clip" vert="horz" wrap="square" lIns="36576" tIns="18288" rIns="36576" bIns="18288" anchor="ctr" anchorCtr="1">
                <a:spAutoFit/>
              </a:bodyPr>
              <a:lstStyle/>
              <a:p>
                <a:pPr>
                  <a:defRPr sz="1100" b="1" i="0" u="none" strike="noStrike" kern="1200" baseline="0">
                    <a:solidFill>
                      <a:schemeClr val="dk1">
                        <a:lumMod val="65000"/>
                        <a:lumOff val="35000"/>
                      </a:schemeClr>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endParaRPr lang="zh-CN"/>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ound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家庭概览!姓名</c:f>
              <c:strCache>
                <c:ptCount val="3"/>
                <c:pt idx="0">
                  <c:v>萧远山</c:v>
                </c:pt>
                <c:pt idx="1">
                  <c:v>萧峰</c:v>
                </c:pt>
                <c:pt idx="2">
                  <c:v>阿朱</c:v>
                </c:pt>
              </c:strCache>
            </c:strRef>
          </c:cat>
          <c:val>
            <c:numRef>
              <c:f>家庭概览!定期寿险</c:f>
              <c:numCache>
                <c:formatCode>General</c:formatCode>
                <c:ptCount val="3"/>
                <c:pt idx="0">
                  <c:v>0</c:v>
                </c:pt>
                <c:pt idx="1">
                  <c:v>5000000</c:v>
                </c:pt>
                <c:pt idx="2">
                  <c:v>0</c:v>
                </c:pt>
              </c:numCache>
            </c:numRef>
          </c:val>
          <c:extLst>
            <c:ext xmlns:c16="http://schemas.microsoft.com/office/drawing/2014/chart" uri="{C3380CC4-5D6E-409C-BE32-E72D297353CC}">
              <c16:uniqueId val="{00000001-3AC2-48ED-8530-023BFD9E4530}"/>
            </c:ext>
          </c:extLst>
        </c:ser>
        <c:dLbls>
          <c:showLegendKey val="0"/>
          <c:showVal val="0"/>
          <c:showCatName val="0"/>
          <c:showSerName val="0"/>
          <c:showPercent val="0"/>
          <c:showBubbleSize val="0"/>
        </c:dLbls>
        <c:gapWidth val="100"/>
        <c:overlap val="100"/>
        <c:axId val="498952319"/>
        <c:axId val="498955199"/>
      </c:barChart>
      <c:barChart>
        <c:barDir val="col"/>
        <c:grouping val="clustered"/>
        <c:varyColors val="0"/>
        <c:ser>
          <c:idx val="2"/>
          <c:order val="2"/>
          <c:tx>
            <c:strRef>
              <c:f>家庭概览!$AE$10</c:f>
              <c:strCache>
                <c:ptCount val="1"/>
                <c:pt idx="0">
                  <c:v>总寿险保额</c:v>
                </c:pt>
              </c:strCache>
              <c:extLst xmlns:c15="http://schemas.microsoft.com/office/drawing/2012/chart"/>
            </c:strRef>
          </c:tx>
          <c:spPr>
            <a:noFill/>
            <a:ln>
              <a:noFill/>
            </a:ln>
            <a:effectLst/>
          </c:spPr>
          <c:invertIfNegative val="0"/>
          <c:dLbls>
            <c:numFmt formatCode="#,###_);\(#,###\)" sourceLinked="0"/>
            <c:spPr>
              <a:noFill/>
              <a:ln>
                <a:noFill/>
              </a:ln>
              <a:effectLst/>
            </c:spPr>
            <c:txPr>
              <a:bodyPr rot="0" spcFirstLastPara="1" vertOverflow="clip" horzOverflow="clip" vert="horz" wrap="square" lIns="36576" tIns="18288" rIns="36576" bIns="18288" anchor="ctr" anchorCtr="1">
                <a:spAutoFit/>
              </a:bodyPr>
              <a:lstStyle/>
              <a:p>
                <a:pPr>
                  <a:defRPr sz="1400" b="0" i="0" u="none" strike="noStrike" kern="1200" baseline="0">
                    <a:solidFill>
                      <a:schemeClr val="dk1">
                        <a:lumMod val="65000"/>
                        <a:lumOff val="35000"/>
                      </a:schemeClr>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endParaRPr lang="zh-CN"/>
              </a:p>
            </c:txPr>
            <c:showLegendKey val="0"/>
            <c:showVal val="1"/>
            <c:showCatName val="0"/>
            <c:showSerName val="0"/>
            <c:showPercent val="0"/>
            <c:showBubbleSize val="0"/>
            <c:separator>
</c:separator>
            <c:showLeaderLines val="0"/>
            <c:extLst xmlns:c15="http://schemas.microsoft.com/office/drawing/2012/chart">
              <c:ext xmlns:c15="http://schemas.microsoft.com/office/drawing/2012/chart" uri="{CE6537A1-D6FC-4f65-9D91-7224C49458BB}">
                <c15:spPr xmlns:c15="http://schemas.microsoft.com/office/drawing/2012/chart">
                  <a:prstGeom prst="rect">
                    <a:avLst/>
                  </a:prstGeom>
                  <a:noFill/>
                  <a:ln>
                    <a:noFill/>
                  </a:ln>
                </c15:spPr>
                <c15:showLeaderLines val="0"/>
              </c:ext>
            </c:extLst>
          </c:dLbls>
          <c:cat>
            <c:strRef>
              <c:f>家庭概览!姓名</c:f>
              <c:strCache>
                <c:ptCount val="3"/>
                <c:pt idx="0">
                  <c:v>萧远山</c:v>
                </c:pt>
                <c:pt idx="1">
                  <c:v>萧峰</c:v>
                </c:pt>
                <c:pt idx="2">
                  <c:v>阿朱</c:v>
                </c:pt>
              </c:strCache>
              <c:extLst xmlns:c15="http://schemas.microsoft.com/office/drawing/2012/chart"/>
            </c:strRef>
          </c:cat>
          <c:val>
            <c:numRef>
              <c:f>家庭概览!寿险总和</c:f>
              <c:numCache>
                <c:formatCode>General</c:formatCode>
                <c:ptCount val="3"/>
                <c:pt idx="0">
                  <c:v>0</c:v>
                </c:pt>
                <c:pt idx="1">
                  <c:v>10000000</c:v>
                </c:pt>
                <c:pt idx="2">
                  <c:v>0</c:v>
                </c:pt>
              </c:numCache>
              <c:extLst xmlns:c15="http://schemas.microsoft.com/office/drawing/2012/chart"/>
            </c:numRef>
          </c:val>
          <c:extLst xmlns:c15="http://schemas.microsoft.com/office/drawing/2012/chart">
            <c:ext xmlns:c16="http://schemas.microsoft.com/office/drawing/2014/chart" uri="{C3380CC4-5D6E-409C-BE32-E72D297353CC}">
              <c16:uniqueId val="{00000002-3AC2-48ED-8530-023BFD9E4530}"/>
            </c:ext>
          </c:extLst>
        </c:ser>
        <c:dLbls>
          <c:showLegendKey val="0"/>
          <c:showVal val="0"/>
          <c:showCatName val="0"/>
          <c:showSerName val="0"/>
          <c:showPercent val="0"/>
          <c:showBubbleSize val="0"/>
        </c:dLbls>
        <c:gapWidth val="100"/>
        <c:overlap val="50"/>
        <c:axId val="498958559"/>
        <c:axId val="498957599"/>
        <c:extLst/>
      </c:barChart>
      <c:catAx>
        <c:axId val="498952319"/>
        <c:scaling>
          <c:orientation val="minMax"/>
        </c:scaling>
        <c:delete val="0"/>
        <c:axPos val="b"/>
        <c:numFmt formatCode="General" sourceLinked="1"/>
        <c:majorTickMark val="none"/>
        <c:minorTickMark val="none"/>
        <c:tickLblPos val="nextTo"/>
        <c:spPr>
          <a:noFill/>
          <a:ln w="9525" cap="flat" cmpd="sng" algn="ctr">
            <a:no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endParaRPr lang="zh-CN"/>
          </a:p>
        </c:txPr>
        <c:crossAx val="498955199"/>
        <c:crosses val="autoZero"/>
        <c:auto val="1"/>
        <c:lblAlgn val="ctr"/>
        <c:lblOffset val="100"/>
        <c:noMultiLvlLbl val="0"/>
      </c:catAx>
      <c:valAx>
        <c:axId val="498955199"/>
        <c:scaling>
          <c:orientation val="minMax"/>
        </c:scaling>
        <c:delete val="1"/>
        <c:axPos val="l"/>
        <c:majorGridlines>
          <c:spPr>
            <a:ln w="3175" cap="flat" cmpd="sng" algn="ctr">
              <a:solidFill>
                <a:schemeClr val="bg1">
                  <a:lumMod val="50000"/>
                  <a:alpha val="50000"/>
                </a:schemeClr>
              </a:solidFill>
              <a:prstDash val="lgDashDot"/>
              <a:round/>
            </a:ln>
            <a:effectLst/>
          </c:spPr>
        </c:majorGridlines>
        <c:numFmt formatCode="General" sourceLinked="1"/>
        <c:majorTickMark val="none"/>
        <c:minorTickMark val="none"/>
        <c:tickLblPos val="nextTo"/>
        <c:crossAx val="498952319"/>
        <c:crosses val="autoZero"/>
        <c:crossBetween val="between"/>
      </c:valAx>
      <c:valAx>
        <c:axId val="498957599"/>
        <c:scaling>
          <c:orientation val="minMax"/>
        </c:scaling>
        <c:delete val="1"/>
        <c:axPos val="r"/>
        <c:numFmt formatCode="General" sourceLinked="1"/>
        <c:majorTickMark val="out"/>
        <c:minorTickMark val="none"/>
        <c:tickLblPos val="nextTo"/>
        <c:crossAx val="498958559"/>
        <c:crosses val="max"/>
        <c:crossBetween val="between"/>
      </c:valAx>
      <c:catAx>
        <c:axId val="498958559"/>
        <c:scaling>
          <c:orientation val="minMax"/>
        </c:scaling>
        <c:delete val="1"/>
        <c:axPos val="b"/>
        <c:numFmt formatCode="General" sourceLinked="1"/>
        <c:majorTickMark val="out"/>
        <c:minorTickMark val="none"/>
        <c:tickLblPos val="nextTo"/>
        <c:crossAx val="498957599"/>
        <c:crosses val="autoZero"/>
        <c:auto val="1"/>
        <c:lblAlgn val="ctr"/>
        <c:lblOffset val="100"/>
        <c:noMultiLvlLbl val="0"/>
      </c:catAx>
      <c:spPr>
        <a:noFill/>
        <a:ln>
          <a:noFill/>
        </a:ln>
        <a:effectLst/>
      </c:spPr>
    </c:plotArea>
    <c:legend>
      <c:legendPos val="t"/>
      <c:legendEntry>
        <c:idx val="2"/>
        <c:delete val="1"/>
      </c:legendEntry>
      <c:overlay val="0"/>
      <c:spPr>
        <a:noFill/>
        <a:ln>
          <a:noFill/>
        </a:ln>
        <a:effectLst/>
      </c:spPr>
      <c:txPr>
        <a:bodyPr rot="0" spcFirstLastPara="1" vertOverflow="ellipsis" vert="horz" wrap="square" anchor="ctr" anchorCtr="1"/>
        <a:lstStyle/>
        <a:p>
          <a:pPr>
            <a:defRPr sz="1400" b="0" i="0" u="none" strike="noStrike" kern="1200" baseline="0">
              <a:solidFill>
                <a:srgbClr val="44546A"/>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endParaRPr lang="zh-CN"/>
        </a:p>
      </c:txPr>
    </c:legend>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rgbClr val="FFF7E3">
        <a:alpha val="28000"/>
      </a:srgbClr>
    </a:solidFill>
    <a:ln w="9525" cap="flat" cmpd="sng" algn="ctr">
      <a:noFill/>
      <a:round/>
    </a:ln>
    <a:effectLst/>
  </c:spPr>
  <c:txPr>
    <a:bodyPr/>
    <a:lstStyle/>
    <a:p>
      <a:pPr>
        <a:defRPr/>
      </a:pPr>
      <a:endParaRPr lang="zh-CN"/>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spcFirstLastPara="1" vertOverflow="ellipsis" vert="eaVert" wrap="square" anchor="ctr" anchorCtr="1"/>
          <a:lstStyle/>
          <a:p>
            <a:pPr>
              <a:defRPr sz="1400" b="0" i="0" u="none" strike="noStrike" kern="1200" spc="0" baseline="0">
                <a:solidFill>
                  <a:srgbClr val="44546A"/>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r>
              <a:rPr lang="zh-CN" altLang="en-US">
                <a:solidFill>
                  <a:srgbClr val="44546A"/>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月度缴费概览</a:t>
            </a:r>
          </a:p>
        </c:rich>
      </c:tx>
      <c:layout>
        <c:manualLayout>
          <c:xMode val="edge"/>
          <c:yMode val="edge"/>
          <c:x val="5.840892360981521E-3"/>
          <c:y val="0.22395090713972621"/>
        </c:manualLayout>
      </c:layout>
      <c:overlay val="0"/>
      <c:spPr>
        <a:noFill/>
        <a:ln>
          <a:noFill/>
        </a:ln>
        <a:effectLst/>
      </c:spPr>
    </c:title>
    <c:autoTitleDeleted val="0"/>
    <c:plotArea>
      <c:layout>
        <c:manualLayout>
          <c:layoutTarget val="inner"/>
          <c:xMode val="edge"/>
          <c:yMode val="edge"/>
          <c:x val="4.8743585447386176E-2"/>
          <c:y val="5.0274693439530373E-2"/>
          <c:w val="0.94453316138745713"/>
          <c:h val="0.94972534061306657"/>
        </c:manualLayout>
      </c:layout>
      <c:lineChart>
        <c:grouping val="standard"/>
        <c:varyColors val="0"/>
        <c:ser>
          <c:idx val="0"/>
          <c:order val="0"/>
          <c:spPr>
            <a:ln w="28575" cap="rnd">
              <a:gradFill>
                <a:gsLst>
                  <a:gs pos="0">
                    <a:srgbClr val="02AE8D"/>
                  </a:gs>
                  <a:gs pos="100000">
                    <a:schemeClr val="accent6">
                      <a:lumMod val="40000"/>
                      <a:lumOff val="60000"/>
                    </a:schemeClr>
                  </a:gs>
                </a:gsLst>
                <a:lin ang="5400000" scaled="1"/>
              </a:gradFill>
              <a:round/>
            </a:ln>
            <a:effectLst>
              <a:outerShdw blurRad="12700" dist="12700" dir="5400000" algn="t" rotWithShape="0">
                <a:prstClr val="black">
                  <a:alpha val="40000"/>
                </a:prstClr>
              </a:outerShdw>
            </a:effectLst>
          </c:spPr>
          <c:marker>
            <c:symbol val="circle"/>
            <c:size val="5"/>
            <c:spPr>
              <a:solidFill>
                <a:srgbClr val="02AE8D"/>
              </a:solidFill>
              <a:ln w="9525">
                <a:solidFill>
                  <a:schemeClr val="accent1"/>
                </a:solidFill>
              </a:ln>
              <a:effectLst>
                <a:outerShdw blurRad="12700" dist="12700" dir="5400000" algn="t" rotWithShape="0">
                  <a:prstClr val="black">
                    <a:alpha val="40000"/>
                  </a:prstClr>
                </a:outerShdw>
              </a:effectLst>
            </c:spPr>
          </c:marker>
          <c:dLbls>
            <c:numFmt formatCode="#,###_);\(#,###\)" sourceLinked="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endParaRPr lang="zh-CN"/>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家庭概览!$U$18:$U$29</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家庭概览!$T$18:$T$29</c:f>
              <c:numCache>
                <c:formatCode>#,##0_ </c:formatCode>
                <c:ptCount val="12"/>
                <c:pt idx="0">
                  <c:v>230000</c:v>
                </c:pt>
                <c:pt idx="1">
                  <c:v>0</c:v>
                </c:pt>
                <c:pt idx="2">
                  <c:v>0</c:v>
                </c:pt>
                <c:pt idx="3">
                  <c:v>0</c:v>
                </c:pt>
                <c:pt idx="4">
                  <c:v>0</c:v>
                </c:pt>
                <c:pt idx="5">
                  <c:v>0</c:v>
                </c:pt>
                <c:pt idx="6">
                  <c:v>360</c:v>
                </c:pt>
                <c:pt idx="7">
                  <c:v>106000</c:v>
                </c:pt>
                <c:pt idx="8">
                  <c:v>5030660</c:v>
                </c:pt>
                <c:pt idx="9">
                  <c:v>0</c:v>
                </c:pt>
                <c:pt idx="10">
                  <c:v>0</c:v>
                </c:pt>
                <c:pt idx="11">
                  <c:v>0</c:v>
                </c:pt>
              </c:numCache>
            </c:numRef>
          </c:val>
          <c:smooth val="1"/>
          <c:extLst>
            <c:ext xmlns:c16="http://schemas.microsoft.com/office/drawing/2014/chart" uri="{C3380CC4-5D6E-409C-BE32-E72D297353CC}">
              <c16:uniqueId val="{00000000-5C26-4E06-953D-3F8D5E3E7951}"/>
            </c:ext>
          </c:extLst>
        </c:ser>
        <c:dLbls>
          <c:showLegendKey val="0"/>
          <c:showVal val="0"/>
          <c:showCatName val="0"/>
          <c:showSerName val="0"/>
          <c:showPercent val="0"/>
          <c:showBubbleSize val="0"/>
        </c:dLbls>
        <c:dropLines>
          <c:spPr>
            <a:ln w="6350">
              <a:solidFill>
                <a:schemeClr val="bg1">
                  <a:lumMod val="50000"/>
                </a:schemeClr>
              </a:solidFill>
              <a:prstDash val="lgDashDot"/>
            </a:ln>
          </c:spPr>
        </c:dropLines>
        <c:marker val="1"/>
        <c:smooth val="0"/>
        <c:axId val="1044447936"/>
        <c:axId val="1044422976"/>
      </c:lineChart>
      <c:catAx>
        <c:axId val="1044447936"/>
        <c:scaling>
          <c:orientation val="minMax"/>
        </c:scaling>
        <c:delete val="0"/>
        <c:axPos val="b"/>
        <c:numFmt formatCode="General" sourceLinked="1"/>
        <c:majorTickMark val="none"/>
        <c:minorTickMark val="none"/>
        <c:tickLblPos val="nextTo"/>
        <c:spPr>
          <a:noFill/>
          <a:ln w="9525" cap="flat" cmpd="sng" algn="ctr">
            <a:gradFill flip="none" rotWithShape="1">
              <a:gsLst>
                <a:gs pos="0">
                  <a:srgbClr val="02AE8D">
                    <a:alpha val="70000"/>
                  </a:srgbClr>
                </a:gs>
                <a:gs pos="100000">
                  <a:srgbClr val="2EABB8">
                    <a:alpha val="70000"/>
                  </a:srgbClr>
                </a:gs>
              </a:gsLst>
              <a:lin ang="2700000" scaled="1"/>
              <a:tileRect/>
            </a:gradFill>
            <a:round/>
          </a:ln>
          <a:effectLst/>
        </c:spPr>
        <c:txPr>
          <a:bodyPr rot="-60000000" spcFirstLastPara="1" vertOverflow="ellipsis" vert="horz" wrap="square" anchor="ctr" anchorCtr="1"/>
          <a:lstStyle/>
          <a:p>
            <a:pPr>
              <a:defRPr sz="900" b="1" i="0" u="none" strike="noStrike" kern="1200" baseline="0">
                <a:solidFill>
                  <a:srgbClr val="333F55"/>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defRPr>
            </a:pPr>
            <a:endParaRPr lang="zh-CN"/>
          </a:p>
        </c:txPr>
        <c:crossAx val="1044422976"/>
        <c:crosses val="autoZero"/>
        <c:auto val="1"/>
        <c:lblAlgn val="ctr"/>
        <c:lblOffset val="100"/>
        <c:noMultiLvlLbl val="0"/>
      </c:catAx>
      <c:valAx>
        <c:axId val="1044422976"/>
        <c:scaling>
          <c:orientation val="minMax"/>
        </c:scaling>
        <c:delete val="1"/>
        <c:axPos val="l"/>
        <c:numFmt formatCode="#,##0_ " sourceLinked="1"/>
        <c:majorTickMark val="none"/>
        <c:minorTickMark val="none"/>
        <c:tickLblPos val="nextTo"/>
        <c:crossAx val="1044447936"/>
        <c:crosses val="autoZero"/>
        <c:crossBetween val="between"/>
      </c:valAx>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rgbClr val="FFF7E3">
        <a:alpha val="28000"/>
      </a:srgbClr>
    </a:solidFill>
    <a:ln w="9525" cap="flat" cmpd="sng" algn="ctr">
      <a:noFill/>
      <a:round/>
    </a:ln>
    <a:effectLst/>
  </c:spPr>
  <c:txPr>
    <a:bodyPr/>
    <a:lstStyle/>
    <a:p>
      <a:pPr>
        <a:defRPr/>
      </a:pPr>
      <a:endParaRPr lang="zh-CN"/>
    </a:p>
  </c:txPr>
  <c:printSettings>
    <c:headerFooter/>
    <c:pageMargins b="0.75" l="0.7" r="0.7" t="0.75" header="0.3" footer="0.3"/>
    <c:pageSetup orientation="portrait"/>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tx>
            <c:strRef>
              <c:f>家庭概览!$X$10</c:f>
              <c:strCache>
                <c:ptCount val="1"/>
                <c:pt idx="0">
                  <c:v>意外医疗</c:v>
                </c:pt>
              </c:strCache>
            </c:strRef>
          </c:tx>
          <c:spPr>
            <a:solidFill>
              <a:srgbClr val="C17CFF"/>
            </a:solidFill>
            <a:ln w="47625" cap="rnd">
              <a:solidFill>
                <a:srgbClr val="C17CFF"/>
              </a:solidFill>
            </a:ln>
            <a:effectLst>
              <a:outerShdw blurRad="12700" dist="12700" dir="5400000" algn="t" rotWithShape="0">
                <a:prstClr val="black">
                  <a:alpha val="40000"/>
                </a:prstClr>
              </a:outerShdw>
            </a:effectLst>
          </c:spPr>
          <c:invertIfNegative val="0"/>
          <c:dLbls>
            <c:numFmt formatCode="#,###_);\(#,###\)" sourceLinked="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defRPr>
                </a:pPr>
                <a:endParaRPr lang="zh-CN"/>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家庭概览!姓名</c:f>
              <c:strCache>
                <c:ptCount val="3"/>
                <c:pt idx="0">
                  <c:v>萧远山</c:v>
                </c:pt>
                <c:pt idx="1">
                  <c:v>萧峰</c:v>
                </c:pt>
                <c:pt idx="2">
                  <c:v>阿朱</c:v>
                </c:pt>
              </c:strCache>
            </c:strRef>
          </c:cat>
          <c:val>
            <c:numRef>
              <c:f>家庭概览!意外医疗</c:f>
              <c:numCache>
                <c:formatCode>General</c:formatCode>
                <c:ptCount val="3"/>
                <c:pt idx="0">
                  <c:v>0</c:v>
                </c:pt>
                <c:pt idx="1">
                  <c:v>30000</c:v>
                </c:pt>
                <c:pt idx="2">
                  <c:v>30000</c:v>
                </c:pt>
              </c:numCache>
            </c:numRef>
          </c:val>
          <c:extLst>
            <c:ext xmlns:c16="http://schemas.microsoft.com/office/drawing/2014/chart" uri="{C3380CC4-5D6E-409C-BE32-E72D297353CC}">
              <c16:uniqueId val="{00000000-F8D7-4607-BE1F-35896A3006AB}"/>
            </c:ext>
          </c:extLst>
        </c:ser>
        <c:ser>
          <c:idx val="1"/>
          <c:order val="1"/>
          <c:tx>
            <c:strRef>
              <c:f>家庭概览!$Y$10</c:f>
              <c:strCache>
                <c:ptCount val="1"/>
                <c:pt idx="0">
                  <c:v>意外伤害</c:v>
                </c:pt>
              </c:strCache>
            </c:strRef>
          </c:tx>
          <c:spPr>
            <a:solidFill>
              <a:srgbClr val="FFC96B"/>
            </a:solidFill>
            <a:ln w="47625" cap="rnd">
              <a:solidFill>
                <a:srgbClr val="FFC96B"/>
              </a:solidFill>
            </a:ln>
            <a:effectLst>
              <a:outerShdw blurRad="12700" dist="12700" dir="5400000" algn="t" rotWithShape="0">
                <a:prstClr val="black">
                  <a:alpha val="40000"/>
                </a:prstClr>
              </a:outerShdw>
            </a:effectLst>
          </c:spPr>
          <c:invertIfNegative val="0"/>
          <c:dLbls>
            <c:numFmt formatCode="#,###_);\(#,###\)" sourceLinked="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endParaRPr lang="zh-CN"/>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家庭概览!姓名</c:f>
              <c:strCache>
                <c:ptCount val="3"/>
                <c:pt idx="0">
                  <c:v>萧远山</c:v>
                </c:pt>
                <c:pt idx="1">
                  <c:v>萧峰</c:v>
                </c:pt>
                <c:pt idx="2">
                  <c:v>阿朱</c:v>
                </c:pt>
              </c:strCache>
            </c:strRef>
          </c:cat>
          <c:val>
            <c:numRef>
              <c:f>家庭概览!意外伤害</c:f>
              <c:numCache>
                <c:formatCode>General</c:formatCode>
                <c:ptCount val="3"/>
                <c:pt idx="0">
                  <c:v>0</c:v>
                </c:pt>
                <c:pt idx="1">
                  <c:v>500000</c:v>
                </c:pt>
                <c:pt idx="2">
                  <c:v>500000</c:v>
                </c:pt>
              </c:numCache>
            </c:numRef>
          </c:val>
          <c:extLst>
            <c:ext xmlns:c16="http://schemas.microsoft.com/office/drawing/2014/chart" uri="{C3380CC4-5D6E-409C-BE32-E72D297353CC}">
              <c16:uniqueId val="{00000001-F8D7-4607-BE1F-35896A3006AB}"/>
            </c:ext>
          </c:extLst>
        </c:ser>
        <c:dLbls>
          <c:showLegendKey val="0"/>
          <c:showVal val="0"/>
          <c:showCatName val="0"/>
          <c:showSerName val="0"/>
          <c:showPercent val="0"/>
          <c:showBubbleSize val="0"/>
        </c:dLbls>
        <c:gapWidth val="100"/>
        <c:axId val="570612784"/>
        <c:axId val="570611344"/>
      </c:barChart>
      <c:catAx>
        <c:axId val="570612784"/>
        <c:scaling>
          <c:orientation val="minMax"/>
        </c:scaling>
        <c:delete val="0"/>
        <c:axPos val="l"/>
        <c:numFmt formatCode="General" sourceLinked="1"/>
        <c:majorTickMark val="none"/>
        <c:minorTickMark val="none"/>
        <c:tickLblPos val="low"/>
        <c:spPr>
          <a:noFill/>
          <a:ln w="9525" cap="flat" cmpd="sng" algn="ctr">
            <a:no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endParaRPr lang="zh-CN"/>
          </a:p>
        </c:txPr>
        <c:crossAx val="570611344"/>
        <c:crosses val="autoZero"/>
        <c:auto val="1"/>
        <c:lblAlgn val="ctr"/>
        <c:lblOffset val="100"/>
        <c:noMultiLvlLbl val="0"/>
      </c:catAx>
      <c:valAx>
        <c:axId val="570611344"/>
        <c:scaling>
          <c:orientation val="minMax"/>
        </c:scaling>
        <c:delete val="1"/>
        <c:axPos val="b"/>
        <c:majorGridlines>
          <c:spPr>
            <a:ln w="3175" cap="flat" cmpd="sng" algn="ctr">
              <a:solidFill>
                <a:schemeClr val="bg1">
                  <a:lumMod val="50000"/>
                  <a:alpha val="50000"/>
                </a:schemeClr>
              </a:solidFill>
              <a:prstDash val="lgDashDot"/>
              <a:round/>
            </a:ln>
            <a:effectLst/>
          </c:spPr>
        </c:majorGridlines>
        <c:numFmt formatCode="General" sourceLinked="1"/>
        <c:majorTickMark val="none"/>
        <c:minorTickMark val="none"/>
        <c:tickLblPos val="nextTo"/>
        <c:crossAx val="570612784"/>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1400" b="0" i="0" u="none" strike="noStrike" kern="1200" baseline="0">
              <a:solidFill>
                <a:srgbClr val="44546A"/>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endParaRPr lang="zh-CN"/>
        </a:p>
      </c:txPr>
    </c:legend>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rgbClr val="FFF7E3">
        <a:alpha val="28000"/>
      </a:srgbClr>
    </a:solidFill>
    <a:ln w="9525" cap="flat" cmpd="sng" algn="ctr">
      <a:noFill/>
      <a:round/>
    </a:ln>
    <a:effectLst/>
  </c:spPr>
  <c:txPr>
    <a:bodyPr/>
    <a:lstStyle/>
    <a:p>
      <a:pPr>
        <a:defRPr/>
      </a:pPr>
      <a:endParaRPr lang="zh-CN"/>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baseline="0">
                <a:solidFill>
                  <a:srgbClr val="44546A"/>
                </a:solidFill>
                <a:latin typeface="+mn-lt"/>
                <a:ea typeface="+mn-ea"/>
                <a:cs typeface="+mn-cs"/>
              </a:defRPr>
            </a:pPr>
            <a:r>
              <a:rPr lang="zh-CN" altLang="en-US" sz="1400" b="0" i="0" u="none" strike="noStrike" baseline="0">
                <a:solidFill>
                  <a:srgbClr val="44546A"/>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重大疾病保额</a:t>
            </a:r>
          </a:p>
        </c:rich>
      </c:tx>
      <c:layout>
        <c:manualLayout>
          <c:xMode val="edge"/>
          <c:yMode val="edge"/>
          <c:x val="0.40060136802672347"/>
          <c:y val="1.8018018018018018E-2"/>
        </c:manualLayout>
      </c:layout>
      <c:overlay val="0"/>
      <c:spPr>
        <a:noFill/>
        <a:ln>
          <a:noFill/>
        </a:ln>
        <a:effectLst/>
      </c:spPr>
      <c:txPr>
        <a:bodyPr rot="0" spcFirstLastPara="1" vertOverflow="ellipsis" vert="horz" wrap="square" anchor="ctr" anchorCtr="1"/>
        <a:lstStyle/>
        <a:p>
          <a:pPr>
            <a:defRPr sz="1400" b="0" i="0" u="none" strike="noStrike" baseline="0">
              <a:solidFill>
                <a:srgbClr val="44546A"/>
              </a:solidFill>
              <a:latin typeface="+mn-lt"/>
              <a:ea typeface="+mn-ea"/>
              <a:cs typeface="+mn-cs"/>
            </a:defRPr>
          </a:pPr>
          <a:endParaRPr lang="zh-CN"/>
        </a:p>
      </c:txPr>
    </c:title>
    <c:autoTitleDeleted val="0"/>
    <c:plotArea>
      <c:layout>
        <c:manualLayout>
          <c:layoutTarget val="inner"/>
          <c:xMode val="edge"/>
          <c:yMode val="edge"/>
          <c:x val="2.8451338842207692E-2"/>
          <c:y val="0.14918918918918919"/>
          <c:w val="0.94309732231558463"/>
          <c:h val="0.65243243243243243"/>
        </c:manualLayout>
      </c:layout>
      <c:barChart>
        <c:barDir val="col"/>
        <c:grouping val="clustered"/>
        <c:varyColors val="0"/>
        <c:ser>
          <c:idx val="0"/>
          <c:order val="0"/>
          <c:tx>
            <c:strRef>
              <c:f>家庭概览!$AA$10</c:f>
              <c:strCache>
                <c:ptCount val="1"/>
                <c:pt idx="0">
                  <c:v>重大疾病</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a:outerShdw blurRad="50800" dist="38100" dir="5400000" algn="t" rotWithShape="0">
                <a:prstClr val="black">
                  <a:alpha val="40000"/>
                </a:prstClr>
              </a:outerShdw>
            </a:effectLst>
          </c:spPr>
          <c:invertIfNegative val="0"/>
          <c:pictureOptions>
            <c:pictureFormat val="stretch"/>
          </c:pictureOptions>
          <c:dLbls>
            <c:numFmt formatCode="#,###_);\(#,###\)" sourceLinked="0"/>
            <c:spPr>
              <a:noFill/>
              <a:ln>
                <a:noFill/>
              </a:ln>
              <a:effectLst/>
            </c:spPr>
            <c:txPr>
              <a:bodyPr rot="0" spcFirstLastPara="1" vertOverflow="ellipsis" vert="horz" wrap="square" lIns="38100" tIns="19050" rIns="38100" bIns="19050" anchor="ctr" anchorCtr="1">
                <a:spAutoFit/>
              </a:bodyPr>
              <a:lstStyle/>
              <a:p>
                <a:pPr>
                  <a:defRPr sz="1100" b="0" i="0" u="none" strike="noStrike" baseline="0">
                    <a:solidFill>
                      <a:schemeClr val="bg1"/>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endParaRPr lang="zh-CN"/>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家庭概览!姓名</c:f>
              <c:strCache>
                <c:ptCount val="3"/>
                <c:pt idx="0">
                  <c:v>萧远山</c:v>
                </c:pt>
                <c:pt idx="1">
                  <c:v>萧峰</c:v>
                </c:pt>
                <c:pt idx="2">
                  <c:v>阿朱</c:v>
                </c:pt>
              </c:strCache>
            </c:strRef>
          </c:cat>
          <c:val>
            <c:numRef>
              <c:f>家庭概览!重大疾病</c:f>
              <c:numCache>
                <c:formatCode>General</c:formatCode>
                <c:ptCount val="3"/>
                <c:pt idx="0">
                  <c:v>0</c:v>
                </c:pt>
                <c:pt idx="1">
                  <c:v>1000000</c:v>
                </c:pt>
                <c:pt idx="2">
                  <c:v>800000</c:v>
                </c:pt>
              </c:numCache>
            </c:numRef>
          </c:val>
          <c:extLst>
            <c:ext xmlns:c16="http://schemas.microsoft.com/office/drawing/2014/chart" uri="{C3380CC4-5D6E-409C-BE32-E72D297353CC}">
              <c16:uniqueId val="{00000000-83D7-41F3-9605-AE4EC490C7BA}"/>
            </c:ext>
          </c:extLst>
        </c:ser>
        <c:dLbls>
          <c:showLegendKey val="0"/>
          <c:showVal val="1"/>
          <c:showCatName val="0"/>
          <c:showSerName val="0"/>
          <c:showPercent val="0"/>
          <c:showBubbleSize val="0"/>
        </c:dLbls>
        <c:gapWidth val="6"/>
        <c:axId val="123696975"/>
        <c:axId val="123705615"/>
      </c:barChart>
      <c:catAx>
        <c:axId val="123696975"/>
        <c:scaling>
          <c:orientation val="maxMin"/>
        </c:scaling>
        <c:delete val="0"/>
        <c:axPos val="b"/>
        <c:numFmt formatCode="General" sourceLinked="1"/>
        <c:majorTickMark val="none"/>
        <c:minorTickMark val="none"/>
        <c:tickLblPos val="nextTo"/>
        <c:spPr>
          <a:noFill/>
          <a:ln w="9525" cap="flat" cmpd="sng" algn="ctr">
            <a:noFill/>
            <a:round/>
          </a:ln>
          <a:effectLst/>
        </c:spPr>
        <c:txPr>
          <a:bodyPr rot="-60000000" spcFirstLastPara="1" vertOverflow="ellipsis" vert="horz" wrap="square" anchor="ctr" anchorCtr="1"/>
          <a:lstStyle/>
          <a:p>
            <a:pPr>
              <a:defRPr sz="1100" b="0" i="0" u="none" strike="noStrike" baseline="0">
                <a:solidFill>
                  <a:schemeClr val="tx1">
                    <a:lumMod val="65000"/>
                    <a:lumOff val="35000"/>
                  </a:schemeClr>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endParaRPr lang="zh-CN"/>
          </a:p>
        </c:txPr>
        <c:crossAx val="123705615"/>
        <c:crosses val="autoZero"/>
        <c:auto val="1"/>
        <c:lblAlgn val="ctr"/>
        <c:lblOffset val="100"/>
        <c:noMultiLvlLbl val="0"/>
      </c:catAx>
      <c:valAx>
        <c:axId val="123705615"/>
        <c:scaling>
          <c:orientation val="minMax"/>
        </c:scaling>
        <c:delete val="1"/>
        <c:axPos val="r"/>
        <c:numFmt formatCode="General" sourceLinked="1"/>
        <c:majorTickMark val="none"/>
        <c:minorTickMark val="none"/>
        <c:tickLblPos val="nextTo"/>
        <c:crossAx val="123696975"/>
        <c:crosses val="autoZero"/>
        <c:crossBetween val="between"/>
      </c:valAx>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rgbClr val="FFF7E3">
        <a:alpha val="28000"/>
      </a:srgbClr>
    </a:solidFill>
    <a:ln w="9525" cap="flat" cmpd="sng" algn="ctr">
      <a:noFill/>
      <a:round/>
    </a:ln>
    <a:effectLst/>
  </c:spPr>
  <c:txPr>
    <a:bodyPr/>
    <a:lstStyle/>
    <a:p>
      <a:pPr>
        <a:defRPr/>
      </a:pPr>
      <a:endParaRPr lang="zh-CN"/>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effectLst/>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r>
              <a:rPr lang="zh-CN" altLang="en-US" sz="1400">
                <a:solidFill>
                  <a:srgbClr val="44546A"/>
                </a:solidFill>
                <a:effectLst/>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医疗报销额度</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effectLst/>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endParaRPr lang="zh-CN"/>
        </a:p>
      </c:txPr>
    </c:title>
    <c:autoTitleDeleted val="0"/>
    <c:plotArea>
      <c:layout/>
      <c:barChart>
        <c:barDir val="bar"/>
        <c:grouping val="clustered"/>
        <c:varyColors val="0"/>
        <c:ser>
          <c:idx val="0"/>
          <c:order val="0"/>
          <c:tx>
            <c:strRef>
              <c:f>家庭概览!$AG$29</c:f>
              <c:strCache>
                <c:ptCount val="1"/>
                <c:pt idx="0">
                  <c:v>医疗报销</c:v>
                </c:pt>
              </c:strCache>
            </c:strRef>
          </c:tx>
          <c:spPr>
            <a:gradFill>
              <a:gsLst>
                <a:gs pos="0">
                  <a:srgbClr val="02AE8D"/>
                </a:gs>
                <a:gs pos="100000">
                  <a:srgbClr val="2EABB8"/>
                </a:gs>
              </a:gsLst>
              <a:lin ang="10800000" scaled="1"/>
            </a:gradFill>
            <a:ln w="98425" cap="rnd" cmpd="sng">
              <a:gradFill>
                <a:gsLst>
                  <a:gs pos="0">
                    <a:srgbClr val="02AE8D"/>
                  </a:gs>
                  <a:gs pos="100000">
                    <a:srgbClr val="2EABB8"/>
                  </a:gs>
                </a:gsLst>
                <a:lin ang="10800000" scaled="0"/>
              </a:gradFill>
            </a:ln>
            <a:effectLst>
              <a:outerShdw blurRad="12700" dist="12700" dir="5400000" algn="t" rotWithShape="0">
                <a:prstClr val="black">
                  <a:alpha val="40000"/>
                </a:prstClr>
              </a:outerShdw>
            </a:effectLst>
          </c:spPr>
          <c:invertIfNegative val="0"/>
          <c:dLbls>
            <c:numFmt formatCode="#,###_ " sourceLinked="0"/>
            <c:spPr>
              <a:noFill/>
              <a:ln w="9525" cmpd="dbl">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endParaRPr lang="zh-CN"/>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家庭概览!姓名</c:f>
              <c:strCache>
                <c:ptCount val="3"/>
                <c:pt idx="0">
                  <c:v>萧远山</c:v>
                </c:pt>
                <c:pt idx="1">
                  <c:v>萧峰</c:v>
                </c:pt>
                <c:pt idx="2">
                  <c:v>阿朱</c:v>
                </c:pt>
              </c:strCache>
            </c:strRef>
          </c:cat>
          <c:val>
            <c:numRef>
              <c:f>家庭概览!医疗报销</c:f>
              <c:numCache>
                <c:formatCode>General</c:formatCode>
                <c:ptCount val="3"/>
                <c:pt idx="0">
                  <c:v>2000000</c:v>
                </c:pt>
                <c:pt idx="1">
                  <c:v>2000000</c:v>
                </c:pt>
                <c:pt idx="2">
                  <c:v>0</c:v>
                </c:pt>
              </c:numCache>
            </c:numRef>
          </c:val>
          <c:extLst>
            <c:ext xmlns:c16="http://schemas.microsoft.com/office/drawing/2014/chart" uri="{C3380CC4-5D6E-409C-BE32-E72D297353CC}">
              <c16:uniqueId val="{00000000-2C29-44EB-8A5E-25FBA5FB352B}"/>
            </c:ext>
          </c:extLst>
        </c:ser>
        <c:dLbls>
          <c:showLegendKey val="0"/>
          <c:showVal val="0"/>
          <c:showCatName val="0"/>
          <c:showSerName val="0"/>
          <c:showPercent val="0"/>
          <c:showBubbleSize val="0"/>
        </c:dLbls>
        <c:gapWidth val="100"/>
        <c:axId val="15606975"/>
        <c:axId val="15610815"/>
      </c:barChart>
      <c:catAx>
        <c:axId val="15606975"/>
        <c:scaling>
          <c:orientation val="minMax"/>
        </c:scaling>
        <c:delete val="0"/>
        <c:axPos val="l"/>
        <c:numFmt formatCode="General" sourceLinked="1"/>
        <c:majorTickMark val="none"/>
        <c:minorTickMark val="none"/>
        <c:tickLblPos val="nextTo"/>
        <c:spPr>
          <a:noFill/>
          <a:ln w="9525" cap="flat" cmpd="sng" algn="ctr">
            <a:no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endParaRPr lang="zh-CN"/>
          </a:p>
        </c:txPr>
        <c:crossAx val="15610815"/>
        <c:crosses val="autoZero"/>
        <c:auto val="1"/>
        <c:lblAlgn val="ctr"/>
        <c:lblOffset val="100"/>
        <c:noMultiLvlLbl val="0"/>
      </c:catAx>
      <c:valAx>
        <c:axId val="15610815"/>
        <c:scaling>
          <c:orientation val="minMax"/>
        </c:scaling>
        <c:delete val="1"/>
        <c:axPos val="b"/>
        <c:numFmt formatCode="General" sourceLinked="1"/>
        <c:majorTickMark val="none"/>
        <c:minorTickMark val="none"/>
        <c:tickLblPos val="nextTo"/>
        <c:crossAx val="15606975"/>
        <c:crosses val="autoZero"/>
        <c:crossBetween val="between"/>
      </c:valAx>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rgbClr val="FFF7E3">
        <a:alpha val="28000"/>
      </a:srgbClr>
    </a:solidFill>
    <a:ln w="9525" cap="flat" cmpd="sng" algn="ctr">
      <a:noFill/>
      <a:round/>
    </a:ln>
    <a:effectLst/>
  </c:spPr>
  <c:txPr>
    <a:bodyPr/>
    <a:lstStyle/>
    <a:p>
      <a:pPr>
        <a:defRPr/>
      </a:pPr>
      <a:endParaRPr lang="zh-CN"/>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baseline="0">
                <a:solidFill>
                  <a:srgbClr val="44546A"/>
                </a:solidFill>
                <a:effectLst/>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r>
              <a:rPr lang="zh-CN" altLang="en-US">
                <a:solidFill>
                  <a:srgbClr val="44546A"/>
                </a:solidFill>
              </a:rPr>
              <a:t>理财型保险概览</a:t>
            </a:r>
          </a:p>
        </c:rich>
      </c:tx>
      <c:layout>
        <c:manualLayout>
          <c:xMode val="edge"/>
          <c:yMode val="edge"/>
          <c:x val="0.31154717924098879"/>
          <c:y val="2.0300096959889768E-2"/>
        </c:manualLayout>
      </c:layout>
      <c:overlay val="0"/>
      <c:spPr>
        <a:noFill/>
        <a:ln>
          <a:noFill/>
        </a:ln>
        <a:effectLst/>
      </c:spPr>
    </c:title>
    <c:autoTitleDeleted val="0"/>
    <c:plotArea>
      <c:layout>
        <c:manualLayout>
          <c:layoutTarget val="inner"/>
          <c:xMode val="edge"/>
          <c:yMode val="edge"/>
          <c:x val="4.6176064364343447E-2"/>
          <c:y val="0.3499478247037302"/>
          <c:w val="0.91553876680578483"/>
          <c:h val="0.60082207905829965"/>
        </c:manualLayout>
      </c:layout>
      <c:doughnutChart>
        <c:varyColors val="1"/>
        <c:ser>
          <c:idx val="0"/>
          <c:order val="0"/>
          <c:tx>
            <c:strRef>
              <c:f>家庭概览!$AG$10</c:f>
              <c:strCache>
                <c:ptCount val="1"/>
                <c:pt idx="0">
                  <c:v>理财型配置本金总和</c:v>
                </c:pt>
              </c:strCache>
            </c:strRef>
          </c:tx>
          <c:spPr>
            <a:effectLst>
              <a:outerShdw blurRad="50800" dist="38100" dir="5400000" algn="t" rotWithShape="0">
                <a:prstClr val="black">
                  <a:alpha val="40000"/>
                </a:prstClr>
              </a:outerShdw>
            </a:effectLst>
          </c:spPr>
          <c:dPt>
            <c:idx val="0"/>
            <c:bubble3D val="0"/>
            <c:spPr>
              <a:solidFill>
                <a:srgbClr val="D7ABFF"/>
              </a:solidFill>
              <a:ln>
                <a:noFill/>
              </a:ln>
              <a:effectLst>
                <a:outerShdw blurRad="50800" dist="38100" dir="5400000" algn="t" rotWithShape="0">
                  <a:prstClr val="black">
                    <a:alpha val="40000"/>
                  </a:prstClr>
                </a:outerShdw>
              </a:effectLst>
            </c:spPr>
            <c:extLst>
              <c:ext xmlns:c16="http://schemas.microsoft.com/office/drawing/2014/chart" uri="{C3380CC4-5D6E-409C-BE32-E72D297353CC}">
                <c16:uniqueId val="{00000003-9AC1-4B36-B205-CE50E39A07B2}"/>
              </c:ext>
            </c:extLst>
          </c:dPt>
          <c:dPt>
            <c:idx val="1"/>
            <c:bubble3D val="0"/>
            <c:spPr>
              <a:solidFill>
                <a:srgbClr val="FFF7E3"/>
              </a:solidFill>
              <a:ln>
                <a:noFill/>
              </a:ln>
              <a:effectLst>
                <a:outerShdw blurRad="50800" dist="38100" dir="5400000" algn="t" rotWithShape="0">
                  <a:prstClr val="black">
                    <a:alpha val="40000"/>
                  </a:prstClr>
                </a:outerShdw>
              </a:effectLst>
            </c:spPr>
            <c:extLst>
              <c:ext xmlns:c16="http://schemas.microsoft.com/office/drawing/2014/chart" uri="{C3380CC4-5D6E-409C-BE32-E72D297353CC}">
                <c16:uniqueId val="{00000003-9F76-43C2-9A25-C2203C78FA62}"/>
              </c:ext>
            </c:extLst>
          </c:dPt>
          <c:dPt>
            <c:idx val="2"/>
            <c:bubble3D val="0"/>
            <c:spPr>
              <a:solidFill>
                <a:schemeClr val="accent6">
                  <a:lumMod val="40000"/>
                  <a:lumOff val="60000"/>
                </a:schemeClr>
              </a:solidFill>
              <a:ln>
                <a:noFill/>
              </a:ln>
              <a:effectLst>
                <a:outerShdw blurRad="50800" dist="38100" dir="5400000" algn="t" rotWithShape="0">
                  <a:prstClr val="black">
                    <a:alpha val="40000"/>
                  </a:prstClr>
                </a:outerShdw>
              </a:effectLst>
            </c:spPr>
            <c:extLst>
              <c:ext xmlns:c16="http://schemas.microsoft.com/office/drawing/2014/chart" uri="{C3380CC4-5D6E-409C-BE32-E72D297353CC}">
                <c16:uniqueId val="{00000005-9F76-43C2-9A25-C2203C78FA62}"/>
              </c:ext>
            </c:extLst>
          </c:dPt>
          <c:dLbls>
            <c:numFmt formatCode="#,###_);\(#,###\)" sourceLinked="0"/>
            <c:spPr>
              <a:noFill/>
              <a:ln>
                <a:noFill/>
              </a:ln>
              <a:effectLst/>
            </c:spPr>
            <c:txPr>
              <a:bodyPr rot="0" spcFirstLastPara="1" vertOverflow="ellipsis" vert="horz" wrap="none" lIns="38100" tIns="19050" rIns="38100" bIns="19050" anchor="ctr" anchorCtr="1">
                <a:spAutoFit/>
              </a:bodyPr>
              <a:lstStyle/>
              <a:p>
                <a:pPr>
                  <a:defRPr sz="1100" b="0" i="0" u="none" strike="noStrike" kern="1200" baseline="0">
                    <a:solidFill>
                      <a:schemeClr val="tx1">
                        <a:lumMod val="75000"/>
                        <a:lumOff val="25000"/>
                      </a:schemeClr>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endParaRPr lang="zh-CN"/>
              </a:p>
            </c:txPr>
            <c:showLegendKey val="0"/>
            <c:showVal val="1"/>
            <c:showCatName val="1"/>
            <c:showSerName val="0"/>
            <c:showPercent val="0"/>
            <c:showBubbleSize val="0"/>
            <c:separator>
</c:separator>
            <c:showLeaderLines val="1"/>
            <c:leaderLines>
              <c:spPr>
                <a:ln w="9525">
                  <a:solidFill>
                    <a:schemeClr val="tx2">
                      <a:lumMod val="35000"/>
                      <a:lumOff val="65000"/>
                    </a:schemeClr>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家庭概览!姓名</c:f>
              <c:strCache>
                <c:ptCount val="3"/>
                <c:pt idx="0">
                  <c:v>萧远山</c:v>
                </c:pt>
                <c:pt idx="1">
                  <c:v>萧峰</c:v>
                </c:pt>
                <c:pt idx="2">
                  <c:v>阿朱</c:v>
                </c:pt>
              </c:strCache>
            </c:strRef>
          </c:cat>
          <c:val>
            <c:numRef>
              <c:f>家庭概览!理财本金</c:f>
              <c:numCache>
                <c:formatCode>General</c:formatCode>
                <c:ptCount val="3"/>
                <c:pt idx="0">
                  <c:v>1500000</c:v>
                </c:pt>
                <c:pt idx="1">
                  <c:v>8000000</c:v>
                </c:pt>
                <c:pt idx="2">
                  <c:v>9000000</c:v>
                </c:pt>
              </c:numCache>
            </c:numRef>
          </c:val>
          <c:extLst>
            <c:ext xmlns:c16="http://schemas.microsoft.com/office/drawing/2014/chart" uri="{C3380CC4-5D6E-409C-BE32-E72D297353CC}">
              <c16:uniqueId val="{00000000-1B44-4AB8-AAD1-E1CFFB081B00}"/>
            </c:ext>
          </c:extLst>
        </c:ser>
        <c:dLbls>
          <c:showLegendKey val="0"/>
          <c:showVal val="0"/>
          <c:showCatName val="0"/>
          <c:showSerName val="0"/>
          <c:showPercent val="0"/>
          <c:showBubbleSize val="0"/>
          <c:showLeaderLines val="1"/>
        </c:dLbls>
        <c:firstSliceAng val="0"/>
        <c:holeSize val="50"/>
      </c:doughnut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rgbClr val="FFF7E3">
        <a:alpha val="28000"/>
      </a:srgbClr>
    </a:solidFill>
    <a:ln w="9525" cap="flat" cmpd="sng" algn="ctr">
      <a:noFill/>
      <a:round/>
    </a:ln>
    <a:effectLst/>
  </c:spPr>
  <c:txPr>
    <a:bodyPr/>
    <a:lstStyle/>
    <a:p>
      <a:pPr>
        <a:defRPr/>
      </a:pPr>
      <a:endParaRPr lang="zh-CN"/>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spc="0" baseline="0">
                <a:solidFill>
                  <a:srgbClr val="44546A"/>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r>
              <a:rPr lang="zh-CN" altLang="en-US" sz="1600">
                <a:solidFill>
                  <a:srgbClr val="44546A"/>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保单领取</a:t>
            </a:r>
          </a:p>
        </c:rich>
      </c:tx>
      <c:layout>
        <c:manualLayout>
          <c:xMode val="edge"/>
          <c:yMode val="edge"/>
          <c:x val="0.41513888888888884"/>
          <c:y val="1.2096778034283094E-2"/>
        </c:manualLayout>
      </c:layout>
      <c:overlay val="0"/>
      <c:spPr>
        <a:noFill/>
        <a:ln>
          <a:noFill/>
        </a:ln>
        <a:effectLst/>
      </c:spPr>
      <c:txPr>
        <a:bodyPr rot="0" spcFirstLastPara="1" vertOverflow="ellipsis" vert="horz" wrap="square" anchor="ctr" anchorCtr="1"/>
        <a:lstStyle/>
        <a:p>
          <a:pPr>
            <a:defRPr sz="1600" b="0" i="0" u="none" strike="noStrike" kern="1200" spc="0" baseline="0">
              <a:solidFill>
                <a:srgbClr val="44546A"/>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endParaRPr lang="zh-CN"/>
        </a:p>
      </c:txPr>
    </c:title>
    <c:autoTitleDeleted val="0"/>
    <c:plotArea>
      <c:layout>
        <c:manualLayout>
          <c:layoutTarget val="inner"/>
          <c:xMode val="edge"/>
          <c:yMode val="edge"/>
          <c:x val="3.0555555555555555E-2"/>
          <c:y val="0.16918350257922629"/>
          <c:w val="0.93888888888888888"/>
          <c:h val="0.67326231593242325"/>
        </c:manualLayout>
      </c:layout>
      <c:barChart>
        <c:barDir val="col"/>
        <c:grouping val="clustered"/>
        <c:varyColors val="0"/>
        <c:ser>
          <c:idx val="0"/>
          <c:order val="0"/>
          <c:tx>
            <c:strRef>
              <c:f>个人信息!$AH$23</c:f>
              <c:strCache>
                <c:ptCount val="1"/>
                <c:pt idx="0">
                  <c:v>保证领取</c:v>
                </c:pt>
              </c:strCache>
            </c:strRef>
          </c:tx>
          <c:spPr>
            <a:gradFill>
              <a:gsLst>
                <a:gs pos="100000">
                  <a:srgbClr val="A053B1"/>
                </a:gs>
                <a:gs pos="0">
                  <a:srgbClr val="FB7187"/>
                </a:gs>
              </a:gsLst>
              <a:lin ang="5400000" scaled="1"/>
            </a:gradFill>
            <a:ln w="38100">
              <a:gradFill>
                <a:gsLst>
                  <a:gs pos="0">
                    <a:srgbClr val="FB7187"/>
                  </a:gs>
                  <a:gs pos="100000">
                    <a:srgbClr val="A053B1"/>
                  </a:gs>
                </a:gsLst>
                <a:lin ang="5400000" scaled="1"/>
              </a:gradFill>
            </a:ln>
            <a:effectLst>
              <a:outerShdw blurRad="38100" dist="25400" dir="5400000" algn="t" rotWithShape="0">
                <a:prstClr val="black">
                  <a:alpha val="40000"/>
                </a:prstClr>
              </a:outerShdw>
            </a:effectLst>
          </c:spPr>
          <c:invertIfNegative val="0"/>
          <c:dLbls>
            <c:numFmt formatCode="#,###_ "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endParaRPr lang="zh-CN"/>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个人信息!领取年龄</c:f>
              <c:strCache>
                <c:ptCount val="3"/>
                <c:pt idx="0">
                  <c:v>【每年】70~80岁</c:v>
                </c:pt>
                <c:pt idx="1">
                  <c:v>70岁</c:v>
                </c:pt>
                <c:pt idx="2">
                  <c:v>70岁</c:v>
                </c:pt>
              </c:strCache>
            </c:strRef>
          </c:cat>
          <c:val>
            <c:numRef>
              <c:f>[0]!保证领取</c:f>
              <c:numCache>
                <c:formatCode>General</c:formatCode>
                <c:ptCount val="3"/>
                <c:pt idx="0">
                  <c:v>250000</c:v>
                </c:pt>
                <c:pt idx="1">
                  <c:v>3000000</c:v>
                </c:pt>
                <c:pt idx="2">
                  <c:v>0</c:v>
                </c:pt>
              </c:numCache>
            </c:numRef>
          </c:val>
          <c:extLst>
            <c:ext xmlns:c16="http://schemas.microsoft.com/office/drawing/2014/chart" uri="{C3380CC4-5D6E-409C-BE32-E72D297353CC}">
              <c16:uniqueId val="{00000000-162C-4728-A465-E52549FDE961}"/>
            </c:ext>
          </c:extLst>
        </c:ser>
        <c:ser>
          <c:idx val="1"/>
          <c:order val="1"/>
          <c:tx>
            <c:strRef>
              <c:f>个人信息!$AI$23</c:f>
              <c:strCache>
                <c:ptCount val="1"/>
                <c:pt idx="0">
                  <c:v>预期领取</c:v>
                </c:pt>
              </c:strCache>
            </c:strRef>
          </c:tx>
          <c:spPr>
            <a:gradFill>
              <a:gsLst>
                <a:gs pos="100000">
                  <a:srgbClr val="02AE8D"/>
                </a:gs>
                <a:gs pos="0">
                  <a:schemeClr val="accent6">
                    <a:lumMod val="40000"/>
                    <a:lumOff val="60000"/>
                  </a:schemeClr>
                </a:gs>
              </a:gsLst>
              <a:lin ang="5400000" scaled="1"/>
            </a:gradFill>
            <a:ln w="25400">
              <a:gradFill>
                <a:gsLst>
                  <a:gs pos="0">
                    <a:schemeClr val="accent6">
                      <a:lumMod val="40000"/>
                      <a:lumOff val="60000"/>
                    </a:schemeClr>
                  </a:gs>
                  <a:gs pos="100000">
                    <a:srgbClr val="02AE8D"/>
                  </a:gs>
                </a:gsLst>
                <a:lin ang="5400000" scaled="1"/>
              </a:gradFill>
            </a:ln>
            <a:effectLst>
              <a:outerShdw blurRad="38100" dist="25400" dir="5400000" algn="t" rotWithShape="0">
                <a:prstClr val="black">
                  <a:alpha val="40000"/>
                </a:prstClr>
              </a:outerShdw>
            </a:effectLst>
          </c:spPr>
          <c:invertIfNegative val="0"/>
          <c:dLbls>
            <c:numFmt formatCode="#,###_ "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endParaRPr lang="zh-CN"/>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个人信息!领取年龄</c:f>
              <c:strCache>
                <c:ptCount val="3"/>
                <c:pt idx="0">
                  <c:v>【每年】70~80岁</c:v>
                </c:pt>
                <c:pt idx="1">
                  <c:v>70岁</c:v>
                </c:pt>
                <c:pt idx="2">
                  <c:v>70岁</c:v>
                </c:pt>
              </c:strCache>
            </c:strRef>
          </c:cat>
          <c:val>
            <c:numRef>
              <c:f>个人信息!预期领取</c:f>
              <c:numCache>
                <c:formatCode>General</c:formatCode>
                <c:ptCount val="3"/>
                <c:pt idx="0">
                  <c:v>0</c:v>
                </c:pt>
                <c:pt idx="1">
                  <c:v>0</c:v>
                </c:pt>
                <c:pt idx="2">
                  <c:v>6000000</c:v>
                </c:pt>
              </c:numCache>
            </c:numRef>
          </c:val>
          <c:extLst>
            <c:ext xmlns:c16="http://schemas.microsoft.com/office/drawing/2014/chart" uri="{C3380CC4-5D6E-409C-BE32-E72D297353CC}">
              <c16:uniqueId val="{00000001-162C-4728-A465-E52549FDE961}"/>
            </c:ext>
          </c:extLst>
        </c:ser>
        <c:dLbls>
          <c:showLegendKey val="0"/>
          <c:showVal val="0"/>
          <c:showCatName val="0"/>
          <c:showSerName val="0"/>
          <c:showPercent val="0"/>
          <c:showBubbleSize val="0"/>
        </c:dLbls>
        <c:gapWidth val="219"/>
        <c:overlap val="100"/>
        <c:axId val="360980751"/>
        <c:axId val="360983631"/>
      </c:barChart>
      <c:catAx>
        <c:axId val="360980751"/>
        <c:scaling>
          <c:orientation val="minMax"/>
        </c:scaling>
        <c:delete val="0"/>
        <c:axPos val="b"/>
        <c:numFmt formatCode="General" sourceLinked="1"/>
        <c:majorTickMark val="none"/>
        <c:minorTickMark val="none"/>
        <c:tickLblPos val="nextTo"/>
        <c:spPr>
          <a:noFill/>
          <a:ln w="9525" cap="flat" cmpd="sng" algn="ctr">
            <a:gradFill>
              <a:gsLst>
                <a:gs pos="0">
                  <a:srgbClr val="2EABB8"/>
                </a:gs>
                <a:gs pos="100000">
                  <a:srgbClr val="02AE8D"/>
                </a:gs>
              </a:gsLst>
              <a:lin ang="5400000" scaled="1"/>
            </a:gra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endParaRPr lang="zh-CN"/>
          </a:p>
        </c:txPr>
        <c:crossAx val="360983631"/>
        <c:crosses val="autoZero"/>
        <c:auto val="1"/>
        <c:lblAlgn val="ctr"/>
        <c:lblOffset val="100"/>
        <c:noMultiLvlLbl val="0"/>
      </c:catAx>
      <c:valAx>
        <c:axId val="360983631"/>
        <c:scaling>
          <c:orientation val="minMax"/>
        </c:scaling>
        <c:delete val="1"/>
        <c:axPos val="l"/>
        <c:majorGridlines>
          <c:spPr>
            <a:ln w="3175" cap="flat" cmpd="sng" algn="ctr">
              <a:solidFill>
                <a:schemeClr val="tx1">
                  <a:lumMod val="15000"/>
                  <a:lumOff val="85000"/>
                  <a:alpha val="35000"/>
                </a:schemeClr>
              </a:solidFill>
              <a:prstDash val="sysDot"/>
              <a:round/>
            </a:ln>
            <a:effectLst/>
          </c:spPr>
        </c:majorGridlines>
        <c:numFmt formatCode="General" sourceLinked="1"/>
        <c:majorTickMark val="none"/>
        <c:minorTickMark val="none"/>
        <c:tickLblPos val="nextTo"/>
        <c:crossAx val="360980751"/>
        <c:crosses val="autoZero"/>
        <c:crossBetween val="between"/>
      </c:valAx>
      <c:spPr>
        <a:noFill/>
        <a:ln>
          <a:noFill/>
        </a:ln>
        <a:effectLst/>
      </c:spPr>
    </c:plotArea>
    <c:legend>
      <c:legendPos val="b"/>
      <c:layout>
        <c:manualLayout>
          <c:xMode val="edge"/>
          <c:yMode val="edge"/>
          <c:x val="0.34413342082239717"/>
          <c:y val="0.90937925748642923"/>
          <c:w val="0.31119285894263199"/>
          <c:h val="7.4585695075390299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endParaRPr lang="zh-CN"/>
        </a:p>
      </c:txPr>
    </c:legend>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rgbClr val="FFF7E3">
        <a:alpha val="28000"/>
      </a:srgbClr>
    </a:solidFill>
    <a:ln w="9525" cap="flat" cmpd="sng" algn="ctr">
      <a:noFill/>
      <a:round/>
    </a:ln>
    <a:effectLst/>
  </c:spPr>
  <c:txPr>
    <a:bodyPr/>
    <a:lstStyle/>
    <a:p>
      <a:pPr>
        <a:defRPr/>
      </a:pPr>
      <a:endParaRPr lang="zh-CN"/>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spcFirstLastPara="1" vertOverflow="ellipsis" vert="eaVert" wrap="square" anchor="ctr" anchorCtr="0"/>
          <a:lstStyle/>
          <a:p>
            <a:pPr>
              <a:defRPr sz="1400" b="0" i="0" u="none" strike="noStrike" kern="1200" spc="0" baseline="0">
                <a:solidFill>
                  <a:srgbClr val="44546A"/>
                </a:solidFill>
                <a:effectLst/>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r>
              <a:rPr lang="zh-CN" altLang="en-US" sz="1600">
                <a:solidFill>
                  <a:srgbClr val="44546A"/>
                </a:solidFill>
                <a:effectLst/>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保险利益整理</a:t>
            </a:r>
          </a:p>
        </c:rich>
      </c:tx>
      <c:layout>
        <c:manualLayout>
          <c:xMode val="edge"/>
          <c:yMode val="edge"/>
          <c:x val="9.346824795261232E-3"/>
          <c:y val="0.31192894298718277"/>
        </c:manualLayout>
      </c:layout>
      <c:overlay val="0"/>
      <c:spPr>
        <a:noFill/>
        <a:ln>
          <a:noFill/>
        </a:ln>
        <a:effectLst/>
      </c:spPr>
    </c:title>
    <c:autoTitleDeleted val="0"/>
    <c:plotArea>
      <c:layout>
        <c:manualLayout>
          <c:layoutTarget val="inner"/>
          <c:xMode val="edge"/>
          <c:yMode val="edge"/>
          <c:x val="0.28437489086364409"/>
          <c:y val="4.0858345777867643E-2"/>
          <c:w val="0.71528007522637704"/>
          <c:h val="0.91240234658612374"/>
        </c:manualLayout>
      </c:layout>
      <c:barChart>
        <c:barDir val="bar"/>
        <c:grouping val="clustered"/>
        <c:varyColors val="0"/>
        <c:ser>
          <c:idx val="0"/>
          <c:order val="0"/>
          <c:tx>
            <c:strRef>
              <c:f>个人信息!$Z$23</c:f>
              <c:strCache>
                <c:ptCount val="1"/>
                <c:pt idx="0">
                  <c:v>金额</c:v>
                </c:pt>
              </c:strCache>
            </c:strRef>
          </c:tx>
          <c:spPr>
            <a:gradFill flip="none" rotWithShape="1">
              <a:gsLst>
                <a:gs pos="100000">
                  <a:srgbClr val="02AE8D"/>
                </a:gs>
                <a:gs pos="16000">
                  <a:schemeClr val="accent6">
                    <a:lumMod val="40000"/>
                    <a:lumOff val="60000"/>
                  </a:schemeClr>
                </a:gs>
              </a:gsLst>
              <a:lin ang="13500000" scaled="1"/>
              <a:tileRect/>
            </a:gradFill>
            <a:ln>
              <a:gradFill>
                <a:gsLst>
                  <a:gs pos="16000">
                    <a:schemeClr val="accent6">
                      <a:lumMod val="40000"/>
                      <a:lumOff val="60000"/>
                    </a:schemeClr>
                  </a:gs>
                  <a:gs pos="100000">
                    <a:srgbClr val="02AE8D"/>
                  </a:gs>
                </a:gsLst>
                <a:lin ang="13500000" scaled="0"/>
              </a:gradFill>
            </a:ln>
            <a:effectLst>
              <a:outerShdw blurRad="50800" dist="38100" dir="5400000" algn="t" rotWithShape="0">
                <a:prstClr val="black">
                  <a:alpha val="40000"/>
                </a:prstClr>
              </a:outerShdw>
            </a:effectLst>
          </c:spPr>
          <c:invertIfNegative val="0"/>
          <c:dLbls>
            <c:numFmt formatCode="#,##0_);[Red]\(#,##0\)"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endParaRPr lang="zh-CN"/>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个人信息!责任名称</c:f>
              <c:strCache>
                <c:ptCount val="10"/>
                <c:pt idx="0">
                  <c:v>百万医疗*</c:v>
                </c:pt>
                <c:pt idx="1">
                  <c:v>重症*</c:v>
                </c:pt>
                <c:pt idx="2">
                  <c:v>中症*</c:v>
                </c:pt>
                <c:pt idx="3">
                  <c:v>轻症*</c:v>
                </c:pt>
                <c:pt idx="4">
                  <c:v>60岁后额外重疾*</c:v>
                </c:pt>
                <c:pt idx="5">
                  <c:v>身故*</c:v>
                </c:pt>
                <c:pt idx="6">
                  <c:v>70岁前身故额外*</c:v>
                </c:pt>
                <c:pt idx="7">
                  <c:v>意外伤害*</c:v>
                </c:pt>
                <c:pt idx="8">
                  <c:v>意外医疗(猫抓狗咬)*</c:v>
                </c:pt>
                <c:pt idx="9">
                  <c:v>住院医疗*</c:v>
                </c:pt>
              </c:strCache>
            </c:strRef>
          </c:cat>
          <c:val>
            <c:numRef>
              <c:f>个人信息!责任金额</c:f>
              <c:numCache>
                <c:formatCode>General</c:formatCode>
                <c:ptCount val="10"/>
                <c:pt idx="0">
                  <c:v>2000000</c:v>
                </c:pt>
                <c:pt idx="1">
                  <c:v>1000000</c:v>
                </c:pt>
                <c:pt idx="2">
                  <c:v>500000</c:v>
                </c:pt>
                <c:pt idx="3">
                  <c:v>300000</c:v>
                </c:pt>
                <c:pt idx="4">
                  <c:v>1000000</c:v>
                </c:pt>
                <c:pt idx="5">
                  <c:v>11000000</c:v>
                </c:pt>
                <c:pt idx="6">
                  <c:v>5000000</c:v>
                </c:pt>
                <c:pt idx="7">
                  <c:v>500000</c:v>
                </c:pt>
                <c:pt idx="8">
                  <c:v>30000</c:v>
                </c:pt>
                <c:pt idx="9">
                  <c:v>10000</c:v>
                </c:pt>
              </c:numCache>
            </c:numRef>
          </c:val>
          <c:extLst>
            <c:ext xmlns:c16="http://schemas.microsoft.com/office/drawing/2014/chart" uri="{C3380CC4-5D6E-409C-BE32-E72D297353CC}">
              <c16:uniqueId val="{00000000-77E8-4CEC-9A50-B778CC42D97C}"/>
            </c:ext>
          </c:extLst>
        </c:ser>
        <c:dLbls>
          <c:showLegendKey val="0"/>
          <c:showVal val="0"/>
          <c:showCatName val="0"/>
          <c:showSerName val="0"/>
          <c:showPercent val="0"/>
          <c:showBubbleSize val="0"/>
        </c:dLbls>
        <c:gapWidth val="100"/>
        <c:overlap val="50"/>
        <c:axId val="308511711"/>
        <c:axId val="308513151"/>
      </c:barChart>
      <c:catAx>
        <c:axId val="308511711"/>
        <c:scaling>
          <c:orientation val="maxMin"/>
        </c:scaling>
        <c:delete val="0"/>
        <c:axPos val="l"/>
        <c:numFmt formatCode="General" sourceLinked="1"/>
        <c:majorTickMark val="none"/>
        <c:minorTickMark val="none"/>
        <c:tickLblPos val="nextTo"/>
        <c:spPr>
          <a:noFill/>
          <a:ln w="6350" cap="flat" cmpd="sng" algn="ctr">
            <a:noFill/>
            <a:round/>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defRPr>
            </a:pPr>
            <a:endParaRPr lang="zh-CN"/>
          </a:p>
        </c:txPr>
        <c:crossAx val="308513151"/>
        <c:crosses val="autoZero"/>
        <c:auto val="1"/>
        <c:lblAlgn val="ctr"/>
        <c:lblOffset val="100"/>
        <c:noMultiLvlLbl val="0"/>
      </c:catAx>
      <c:valAx>
        <c:axId val="308513151"/>
        <c:scaling>
          <c:orientation val="minMax"/>
        </c:scaling>
        <c:delete val="1"/>
        <c:axPos val="t"/>
        <c:majorGridlines>
          <c:spPr>
            <a:ln w="3175" cap="flat" cmpd="sng" algn="ctr">
              <a:solidFill>
                <a:schemeClr val="bg1">
                  <a:lumMod val="95000"/>
                  <a:alpha val="35000"/>
                </a:schemeClr>
              </a:solidFill>
              <a:prstDash val="sysDot"/>
              <a:round/>
            </a:ln>
            <a:effectLst/>
          </c:spPr>
        </c:majorGridlines>
        <c:numFmt formatCode="General" sourceLinked="1"/>
        <c:majorTickMark val="none"/>
        <c:minorTickMark val="none"/>
        <c:tickLblPos val="nextTo"/>
        <c:crossAx val="308511711"/>
        <c:crosses val="autoZero"/>
        <c:crossBetween val="between"/>
      </c:valAx>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rgbClr val="FFF7E3">
        <a:alpha val="28000"/>
      </a:srgbClr>
    </a:solidFill>
    <a:ln w="9525" cap="flat" cmpd="sng" algn="ctr">
      <a:noFill/>
      <a:round/>
    </a:ln>
    <a:effectLst/>
  </c:spPr>
  <c:txPr>
    <a:bodyPr/>
    <a:lstStyle/>
    <a:p>
      <a:pPr>
        <a:defRPr/>
      </a:pPr>
      <a:endParaRPr lang="zh-CN"/>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115756811813558E-5"/>
          <c:y val="1.3727266392585882E-2"/>
          <c:w val="0.99991884243188189"/>
          <c:h val="0.6755036065279344"/>
        </c:manualLayout>
      </c:layout>
      <c:barChart>
        <c:barDir val="col"/>
        <c:grouping val="clustered"/>
        <c:varyColors val="0"/>
        <c:ser>
          <c:idx val="0"/>
          <c:order val="0"/>
          <c:tx>
            <c:strRef>
              <c:f>保单录入!$AT$1</c:f>
              <c:strCache>
                <c:ptCount val="1"/>
                <c:pt idx="0">
                  <c:v>数量</c:v>
                </c:pt>
              </c:strCache>
            </c:strRef>
          </c:tx>
          <c:spPr>
            <a:solidFill>
              <a:schemeClr val="accent1"/>
            </a:solidFill>
            <a:ln w="19050">
              <a:noFill/>
            </a:ln>
            <a:effectLst>
              <a:outerShdw blurRad="50800" dist="38100" dir="5400000" algn="t" rotWithShape="0">
                <a:prstClr val="black">
                  <a:alpha val="40000"/>
                </a:prstClr>
              </a:outerShdw>
            </a:effectLst>
          </c:spPr>
          <c:invertIfNegative val="0"/>
          <c:dPt>
            <c:idx val="0"/>
            <c:invertIfNegative val="0"/>
            <c:bubble3D val="0"/>
            <c:spPr>
              <a:solidFill>
                <a:srgbClr val="FFF7E3"/>
              </a:solidFill>
              <a:ln w="19050">
                <a:noFill/>
              </a:ln>
              <a:effectLst>
                <a:outerShdw blurRad="50800" dist="38100" dir="5400000" algn="t" rotWithShape="0">
                  <a:prstClr val="black">
                    <a:alpha val="40000"/>
                  </a:prstClr>
                </a:outerShdw>
              </a:effectLst>
            </c:spPr>
            <c:extLst>
              <c:ext xmlns:c16="http://schemas.microsoft.com/office/drawing/2014/chart" uri="{C3380CC4-5D6E-409C-BE32-E72D297353CC}">
                <c16:uniqueId val="{00000001-6C30-4655-926E-7A10F851229B}"/>
              </c:ext>
            </c:extLst>
          </c:dPt>
          <c:dPt>
            <c:idx val="1"/>
            <c:invertIfNegative val="0"/>
            <c:bubble3D val="0"/>
            <c:spPr>
              <a:solidFill>
                <a:schemeClr val="tx2"/>
              </a:solidFill>
              <a:ln w="19050">
                <a:noFill/>
              </a:ln>
              <a:effectLst>
                <a:outerShdw blurRad="50800" dist="38100" dir="5400000" algn="t" rotWithShape="0">
                  <a:prstClr val="black">
                    <a:alpha val="40000"/>
                  </a:prstClr>
                </a:outerShdw>
              </a:effectLst>
            </c:spPr>
            <c:extLst>
              <c:ext xmlns:c16="http://schemas.microsoft.com/office/drawing/2014/chart" uri="{C3380CC4-5D6E-409C-BE32-E72D297353CC}">
                <c16:uniqueId val="{00000002-6C30-4655-926E-7A10F851229B}"/>
              </c:ext>
            </c:extLst>
          </c:dPt>
          <c:dPt>
            <c:idx val="2"/>
            <c:invertIfNegative val="0"/>
            <c:bubble3D val="0"/>
            <c:spPr>
              <a:solidFill>
                <a:srgbClr val="02AE8D"/>
              </a:solidFill>
              <a:ln w="19050">
                <a:noFill/>
              </a:ln>
              <a:effectLst>
                <a:outerShdw blurRad="50800" dist="38100" dir="5400000" algn="t" rotWithShape="0">
                  <a:prstClr val="black">
                    <a:alpha val="40000"/>
                  </a:prstClr>
                </a:outerShdw>
              </a:effectLst>
            </c:spPr>
            <c:extLst>
              <c:ext xmlns:c16="http://schemas.microsoft.com/office/drawing/2014/chart" uri="{C3380CC4-5D6E-409C-BE32-E72D297353CC}">
                <c16:uniqueId val="{00000003-6C30-4655-926E-7A10F851229B}"/>
              </c:ext>
            </c:extLst>
          </c:dPt>
          <c:dLbls>
            <c:numFmt formatCode="#,##0_);[Red]\(#,##0\)" sourceLinked="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defRPr>
                </a:pPr>
                <a:endParaRPr lang="zh-CN"/>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保单录入!$AS$2:$AS$4</c:f>
              <c:strCache>
                <c:ptCount val="3"/>
                <c:pt idx="0">
                  <c:v>保单总量</c:v>
                </c:pt>
                <c:pt idx="1">
                  <c:v>家庭总量</c:v>
                </c:pt>
                <c:pt idx="2">
                  <c:v>被保人数量</c:v>
                </c:pt>
              </c:strCache>
            </c:strRef>
          </c:cat>
          <c:val>
            <c:numRef>
              <c:f>保单录入!$AT$2:$AT$4</c:f>
              <c:numCache>
                <c:formatCode>General</c:formatCode>
                <c:ptCount val="3"/>
                <c:pt idx="0">
                  <c:v>9</c:v>
                </c:pt>
                <c:pt idx="1">
                  <c:v>3</c:v>
                </c:pt>
                <c:pt idx="2">
                  <c:v>8</c:v>
                </c:pt>
              </c:numCache>
            </c:numRef>
          </c:val>
          <c:extLst>
            <c:ext xmlns:c16="http://schemas.microsoft.com/office/drawing/2014/chart" uri="{C3380CC4-5D6E-409C-BE32-E72D297353CC}">
              <c16:uniqueId val="{00000000-6C30-4655-926E-7A10F851229B}"/>
            </c:ext>
          </c:extLst>
        </c:ser>
        <c:dLbls>
          <c:showLegendKey val="0"/>
          <c:showVal val="0"/>
          <c:showCatName val="0"/>
          <c:showSerName val="0"/>
          <c:showPercent val="0"/>
          <c:showBubbleSize val="0"/>
        </c:dLbls>
        <c:gapWidth val="150"/>
        <c:axId val="889745104"/>
        <c:axId val="889730224"/>
      </c:barChart>
      <c:catAx>
        <c:axId val="889745104"/>
        <c:scaling>
          <c:orientation val="minMax"/>
        </c:scaling>
        <c:delete val="0"/>
        <c:axPos val="b"/>
        <c:numFmt formatCode="General" sourceLinked="1"/>
        <c:majorTickMark val="cross"/>
        <c:minorTickMark val="none"/>
        <c:tickLblPos val="nextTo"/>
        <c:spPr>
          <a:noFill/>
          <a:ln w="9525" cap="flat" cmpd="sng" algn="ctr">
            <a:solidFill>
              <a:schemeClr val="bg1"/>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defRPr>
            </a:pPr>
            <a:endParaRPr lang="zh-CN"/>
          </a:p>
        </c:txPr>
        <c:crossAx val="889730224"/>
        <c:crosses val="autoZero"/>
        <c:auto val="1"/>
        <c:lblAlgn val="ctr"/>
        <c:lblOffset val="100"/>
        <c:noMultiLvlLbl val="0"/>
      </c:catAx>
      <c:valAx>
        <c:axId val="889730224"/>
        <c:scaling>
          <c:orientation val="minMax"/>
        </c:scaling>
        <c:delete val="1"/>
        <c:axPos val="l"/>
        <c:numFmt formatCode="General" sourceLinked="1"/>
        <c:majorTickMark val="out"/>
        <c:minorTickMark val="none"/>
        <c:tickLblPos val="nextTo"/>
        <c:crossAx val="889745104"/>
        <c:crosses val="autoZero"/>
        <c:crossBetween val="between"/>
      </c:valAx>
      <c:spPr>
        <a:noFill/>
        <a:ln>
          <a:noFill/>
        </a:ln>
        <a:effectLst/>
      </c:spPr>
    </c:plotArea>
    <c:plotVisOnly val="0"/>
    <c:dispBlanksAs val="gap"/>
    <c:showDLblsOverMax val="0"/>
  </c:chart>
  <c:spPr>
    <a:noFill/>
    <a:ln w="9525" cap="flat" cmpd="sng" algn="ctr">
      <a:noFill/>
      <a:round/>
    </a:ln>
    <a:effectLst/>
  </c:spPr>
  <c:txPr>
    <a:bodyPr/>
    <a:lstStyle/>
    <a:p>
      <a:pPr>
        <a:defRPr/>
      </a:pPr>
      <a:endParaRPr lang="zh-CN"/>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419">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4.png"/><Relationship Id="rId3" Type="http://schemas.openxmlformats.org/officeDocument/2006/relationships/chart" Target="../charts/chart3.xml"/><Relationship Id="rId7" Type="http://schemas.openxmlformats.org/officeDocument/2006/relationships/chart" Target="../charts/chart6.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5.xml"/><Relationship Id="rId11" Type="http://schemas.openxmlformats.org/officeDocument/2006/relationships/image" Target="../media/image7.png"/><Relationship Id="rId5" Type="http://schemas.openxmlformats.org/officeDocument/2006/relationships/chart" Target="../charts/chart4.xml"/><Relationship Id="rId10" Type="http://schemas.openxmlformats.org/officeDocument/2006/relationships/image" Target="../media/image6.png"/><Relationship Id="rId4" Type="http://schemas.openxmlformats.org/officeDocument/2006/relationships/image" Target="../media/image1.gif"/><Relationship Id="rId9" Type="http://schemas.openxmlformats.org/officeDocument/2006/relationships/image" Target="../media/image5.png"/></Relationships>
</file>

<file path=xl/drawings/_rels/drawing2.xml.rels><?xml version="1.0" encoding="UTF-8" standalone="yes"?>
<Relationships xmlns="http://schemas.openxmlformats.org/package/2006/relationships"><Relationship Id="rId8" Type="http://schemas.openxmlformats.org/officeDocument/2006/relationships/image" Target="../media/image7.png"/><Relationship Id="rId3" Type="http://schemas.openxmlformats.org/officeDocument/2006/relationships/image" Target="../media/image9.svg"/><Relationship Id="rId7" Type="http://schemas.openxmlformats.org/officeDocument/2006/relationships/image" Target="../media/image12.png"/><Relationship Id="rId2" Type="http://schemas.openxmlformats.org/officeDocument/2006/relationships/image" Target="../media/image8.png"/><Relationship Id="rId1" Type="http://schemas.openxmlformats.org/officeDocument/2006/relationships/chart" Target="../charts/chart7.xml"/><Relationship Id="rId6" Type="http://schemas.openxmlformats.org/officeDocument/2006/relationships/image" Target="../media/image11.png"/><Relationship Id="rId5" Type="http://schemas.openxmlformats.org/officeDocument/2006/relationships/image" Target="../media/image10.gif"/><Relationship Id="rId4" Type="http://schemas.openxmlformats.org/officeDocument/2006/relationships/chart" Target="../charts/chart8.xml"/></Relationships>
</file>

<file path=xl/drawings/_rels/drawing4.xml.rels><?xml version="1.0" encoding="UTF-8" standalone="yes"?>
<Relationships xmlns="http://schemas.openxmlformats.org/package/2006/relationships"><Relationship Id="rId1"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7</xdr:col>
      <xdr:colOff>1199223</xdr:colOff>
      <xdr:row>2</xdr:row>
      <xdr:rowOff>105833</xdr:rowOff>
    </xdr:from>
    <xdr:to>
      <xdr:col>11</xdr:col>
      <xdr:colOff>1848556</xdr:colOff>
      <xdr:row>14</xdr:row>
      <xdr:rowOff>42333</xdr:rowOff>
    </xdr:to>
    <xdr:graphicFrame macro="">
      <xdr:nvGraphicFramePr>
        <xdr:cNvPr id="26" name="图表 25">
          <a:extLst>
            <a:ext uri="{FF2B5EF4-FFF2-40B4-BE49-F238E27FC236}">
              <a16:creationId xmlns:a16="http://schemas.microsoft.com/office/drawing/2014/main" id="{78525D49-6D66-9F39-1156-022610B92E1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236775</xdr:colOff>
      <xdr:row>2</xdr:row>
      <xdr:rowOff>112505</xdr:rowOff>
    </xdr:from>
    <xdr:to>
      <xdr:col>7</xdr:col>
      <xdr:colOff>982266</xdr:colOff>
      <xdr:row>14</xdr:row>
      <xdr:rowOff>48292</xdr:rowOff>
    </xdr:to>
    <xdr:graphicFrame macro="">
      <xdr:nvGraphicFramePr>
        <xdr:cNvPr id="63" name="图表 62">
          <a:extLst>
            <a:ext uri="{FF2B5EF4-FFF2-40B4-BE49-F238E27FC236}">
              <a16:creationId xmlns:a16="http://schemas.microsoft.com/office/drawing/2014/main" id="{271341A1-BAC4-72CF-F500-850FD716A41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264582</xdr:colOff>
      <xdr:row>15</xdr:row>
      <xdr:rowOff>11904</xdr:rowOff>
    </xdr:from>
    <xdr:to>
      <xdr:col>5</xdr:col>
      <xdr:colOff>264584</xdr:colOff>
      <xdr:row>35</xdr:row>
      <xdr:rowOff>95249</xdr:rowOff>
    </xdr:to>
    <xdr:graphicFrame macro="">
      <xdr:nvGraphicFramePr>
        <xdr:cNvPr id="55" name="图表 54">
          <a:extLst>
            <a:ext uri="{FF2B5EF4-FFF2-40B4-BE49-F238E27FC236}">
              <a16:creationId xmlns:a16="http://schemas.microsoft.com/office/drawing/2014/main" id="{6E70971A-F792-EB4B-3063-A00D884D8004}"/>
            </a:ext>
            <a:ext uri="{147F2762-F138-4A5C-976F-8EAC2B608ADB}">
              <a16:predDERef xmlns:a16="http://schemas.microsoft.com/office/drawing/2014/main" pred="{E24897D7-1A24-AA83-E4DC-4427C99BD16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981086</xdr:colOff>
      <xdr:row>1</xdr:row>
      <xdr:rowOff>615959</xdr:rowOff>
    </xdr:from>
    <xdr:to>
      <xdr:col>9</xdr:col>
      <xdr:colOff>509</xdr:colOff>
      <xdr:row>4</xdr:row>
      <xdr:rowOff>74092</xdr:rowOff>
    </xdr:to>
    <xdr:pic>
      <xdr:nvPicPr>
        <xdr:cNvPr id="4" name="图片 3">
          <a:extLst>
            <a:ext uri="{FF2B5EF4-FFF2-40B4-BE49-F238E27FC236}">
              <a16:creationId xmlns:a16="http://schemas.microsoft.com/office/drawing/2014/main" id="{4E1543A6-29ED-0493-B178-9DE45156BBF3}"/>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627919" y="795876"/>
          <a:ext cx="686859" cy="685799"/>
        </a:xfrm>
        <a:prstGeom prst="rect">
          <a:avLst/>
        </a:prstGeom>
      </xdr:spPr>
    </xdr:pic>
    <xdr:clientData/>
  </xdr:twoCellAnchor>
  <xdr:twoCellAnchor>
    <xdr:from>
      <xdr:col>5</xdr:col>
      <xdr:colOff>539750</xdr:colOff>
      <xdr:row>25</xdr:row>
      <xdr:rowOff>172634</xdr:rowOff>
    </xdr:from>
    <xdr:to>
      <xdr:col>8</xdr:col>
      <xdr:colOff>1386417</xdr:colOff>
      <xdr:row>35</xdr:row>
      <xdr:rowOff>96434</xdr:rowOff>
    </xdr:to>
    <xdr:graphicFrame macro="">
      <xdr:nvGraphicFramePr>
        <xdr:cNvPr id="6" name="图表 5">
          <a:extLst>
            <a:ext uri="{FF2B5EF4-FFF2-40B4-BE49-F238E27FC236}">
              <a16:creationId xmlns:a16="http://schemas.microsoft.com/office/drawing/2014/main" id="{5F4EEEB0-87BD-48E8-558E-FBD9CB7ECF4F}"/>
            </a:ext>
            <a:ext uri="{147F2762-F138-4A5C-976F-8EAC2B608ADB}">
              <a16:predDERef xmlns:a16="http://schemas.microsoft.com/office/drawing/2014/main" pred="{4E1543A6-29ED-0493-B178-9DE45156BBF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5</xdr:col>
      <xdr:colOff>529167</xdr:colOff>
      <xdr:row>15</xdr:row>
      <xdr:rowOff>11904</xdr:rowOff>
    </xdr:from>
    <xdr:to>
      <xdr:col>8</xdr:col>
      <xdr:colOff>1397000</xdr:colOff>
      <xdr:row>24</xdr:row>
      <xdr:rowOff>178224</xdr:rowOff>
    </xdr:to>
    <xdr:graphicFrame macro="">
      <xdr:nvGraphicFramePr>
        <xdr:cNvPr id="2" name="图表 1">
          <a:extLst>
            <a:ext uri="{FF2B5EF4-FFF2-40B4-BE49-F238E27FC236}">
              <a16:creationId xmlns:a16="http://schemas.microsoft.com/office/drawing/2014/main" id="{FF374726-F0E8-FDD4-4E25-8073C6124AB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9</xdr:col>
      <xdr:colOff>3</xdr:colOff>
      <xdr:row>15</xdr:row>
      <xdr:rowOff>10582</xdr:rowOff>
    </xdr:from>
    <xdr:to>
      <xdr:col>12</xdr:col>
      <xdr:colOff>133</xdr:colOff>
      <xdr:row>35</xdr:row>
      <xdr:rowOff>52916</xdr:rowOff>
    </xdr:to>
    <xdr:graphicFrame macro="">
      <xdr:nvGraphicFramePr>
        <xdr:cNvPr id="15" name="图表 14">
          <a:extLst>
            <a:ext uri="{FF2B5EF4-FFF2-40B4-BE49-F238E27FC236}">
              <a16:creationId xmlns:a16="http://schemas.microsoft.com/office/drawing/2014/main" id="{9A8F409A-B741-9B44-425B-1B855757E8A7}"/>
            </a:ext>
            <a:ext uri="{147F2762-F138-4A5C-976F-8EAC2B608ADB}">
              <a16:predDERef xmlns:a16="http://schemas.microsoft.com/office/drawing/2014/main" pred="{15821C26-E3DD-F011-D7D4-7CA1C15F07F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9</xdr:col>
      <xdr:colOff>537702</xdr:colOff>
      <xdr:row>17</xdr:row>
      <xdr:rowOff>179916</xdr:rowOff>
    </xdr:from>
    <xdr:to>
      <xdr:col>11</xdr:col>
      <xdr:colOff>1138835</xdr:colOff>
      <xdr:row>21</xdr:row>
      <xdr:rowOff>42339</xdr:rowOff>
    </xdr:to>
    <xdr:sp macro="" textlink="$AG$9">
      <xdr:nvSpPr>
        <xdr:cNvPr id="8" name="矩形: 圆角 7">
          <a:extLst>
            <a:ext uri="{FF2B5EF4-FFF2-40B4-BE49-F238E27FC236}">
              <a16:creationId xmlns:a16="http://schemas.microsoft.com/office/drawing/2014/main" id="{3987B529-0098-8BA8-586E-C1BC7782EFF7}"/>
            </a:ext>
          </a:extLst>
        </xdr:cNvPr>
        <xdr:cNvSpPr/>
      </xdr:nvSpPr>
      <xdr:spPr>
        <a:xfrm>
          <a:off x="11527435" y="5979583"/>
          <a:ext cx="2573867" cy="1149356"/>
        </a:xfrm>
        <a:prstGeom prst="roundRect">
          <a:avLst/>
        </a:prstGeom>
        <a:solidFill>
          <a:srgbClr val="FFF7E3"/>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fld id="{A29E2E4E-43D9-4A95-A19D-63C7E387097C}" type="TxLink">
            <a:rPr lang="zh-CN" altLang="en-US" sz="1400" b="0" i="0" u="none" strike="noStrike">
              <a:solidFill>
                <a:srgbClr val="44546A"/>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pPr algn="ctr"/>
            <a:t>家庭投入本金总计
18,500,000</a:t>
          </a:fld>
          <a:endParaRPr lang="zh-CN" altLang="en-US" sz="1400">
            <a:solidFill>
              <a:srgbClr val="44546A"/>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endParaRPr>
        </a:p>
      </xdr:txBody>
    </xdr:sp>
    <xdr:clientData/>
  </xdr:twoCellAnchor>
  <xdr:twoCellAnchor>
    <xdr:from>
      <xdr:col>9</xdr:col>
      <xdr:colOff>1174338</xdr:colOff>
      <xdr:row>25</xdr:row>
      <xdr:rowOff>158750</xdr:rowOff>
    </xdr:from>
    <xdr:to>
      <xdr:col>11</xdr:col>
      <xdr:colOff>596389</xdr:colOff>
      <xdr:row>30</xdr:row>
      <xdr:rowOff>275166</xdr:rowOff>
    </xdr:to>
    <xdr:sp macro="" textlink="">
      <xdr:nvSpPr>
        <xdr:cNvPr id="12" name="流程图: 接点 11">
          <a:extLst>
            <a:ext uri="{FF2B5EF4-FFF2-40B4-BE49-F238E27FC236}">
              <a16:creationId xmlns:a16="http://schemas.microsoft.com/office/drawing/2014/main" id="{D09AF1E6-F8A2-E81A-FA07-751EFB675D24}"/>
            </a:ext>
          </a:extLst>
        </xdr:cNvPr>
        <xdr:cNvSpPr/>
      </xdr:nvSpPr>
      <xdr:spPr>
        <a:xfrm>
          <a:off x="13452063" y="8378825"/>
          <a:ext cx="1641376" cy="1688041"/>
        </a:xfrm>
        <a:prstGeom prst="flowChartConnector">
          <a:avLst/>
        </a:prstGeom>
        <a:noFill/>
        <a:ln>
          <a:noFill/>
        </a:ln>
        <a:effectLst>
          <a:outerShdw blurRad="12700" dist="12700" sx="102000" sy="102000" algn="ctr" rotWithShape="0">
            <a:prstClr val="black">
              <a:alpha val="27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a:solidFill>
                <a:schemeClr val="tx1">
                  <a:lumMod val="65000"/>
                  <a:lumOff val="35000"/>
                </a:schemeClr>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个人理财</a:t>
          </a:r>
          <a:endParaRPr lang="en-US" altLang="zh-CN" sz="1400">
            <a:solidFill>
              <a:schemeClr val="tx1">
                <a:lumMod val="65000"/>
                <a:lumOff val="35000"/>
              </a:schemeClr>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endParaRPr>
        </a:p>
        <a:p>
          <a:pPr algn="ctr"/>
          <a:r>
            <a:rPr lang="zh-CN" altLang="en-US" sz="1400">
              <a:solidFill>
                <a:schemeClr val="tx1">
                  <a:lumMod val="65000"/>
                  <a:lumOff val="35000"/>
                </a:schemeClr>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保险本金</a:t>
          </a:r>
        </a:p>
      </xdr:txBody>
    </xdr:sp>
    <xdr:clientData/>
  </xdr:twoCellAnchor>
  <xdr:twoCellAnchor>
    <xdr:from>
      <xdr:col>1</xdr:col>
      <xdr:colOff>2280</xdr:colOff>
      <xdr:row>14</xdr:row>
      <xdr:rowOff>169333</xdr:rowOff>
    </xdr:from>
    <xdr:to>
      <xdr:col>1</xdr:col>
      <xdr:colOff>1322500</xdr:colOff>
      <xdr:row>35</xdr:row>
      <xdr:rowOff>52922</xdr:rowOff>
    </xdr:to>
    <xdr:grpSp>
      <xdr:nvGrpSpPr>
        <xdr:cNvPr id="22" name="组合 21">
          <a:extLst>
            <a:ext uri="{FF2B5EF4-FFF2-40B4-BE49-F238E27FC236}">
              <a16:creationId xmlns:a16="http://schemas.microsoft.com/office/drawing/2014/main" id="{3849FDD6-36BE-74B9-C7CE-18B7F428BE0E}"/>
            </a:ext>
          </a:extLst>
        </xdr:cNvPr>
        <xdr:cNvGrpSpPr/>
      </xdr:nvGrpSpPr>
      <xdr:grpSpPr>
        <a:xfrm>
          <a:off x="59430" y="5036608"/>
          <a:ext cx="1320220" cy="6655864"/>
          <a:chOff x="175980" y="4974166"/>
          <a:chExt cx="1481667" cy="6529923"/>
        </a:xfrm>
      </xdr:grpSpPr>
      <xdr:grpSp>
        <xdr:nvGrpSpPr>
          <xdr:cNvPr id="44" name="组合 43">
            <a:extLst>
              <a:ext uri="{FF2B5EF4-FFF2-40B4-BE49-F238E27FC236}">
                <a16:creationId xmlns:a16="http://schemas.microsoft.com/office/drawing/2014/main" id="{CF4261CE-D31E-0E8C-E445-22E812E4BDFF}"/>
              </a:ext>
            </a:extLst>
          </xdr:cNvPr>
          <xdr:cNvGrpSpPr/>
        </xdr:nvGrpSpPr>
        <xdr:grpSpPr>
          <a:xfrm>
            <a:off x="175980" y="5118369"/>
            <a:ext cx="1481667" cy="6385720"/>
            <a:chOff x="177205" y="5118369"/>
            <a:chExt cx="1481667" cy="6385720"/>
          </a:xfrm>
        </xdr:grpSpPr>
        <xdr:sp macro="" textlink="">
          <xdr:nvSpPr>
            <xdr:cNvPr id="46" name="矩形: 圆角 45">
              <a:extLst>
                <a:ext uri="{FF2B5EF4-FFF2-40B4-BE49-F238E27FC236}">
                  <a16:creationId xmlns:a16="http://schemas.microsoft.com/office/drawing/2014/main" id="{44BB82D7-4A26-494E-BAE7-7628758EFF14}"/>
                </a:ext>
              </a:extLst>
            </xdr:cNvPr>
            <xdr:cNvSpPr/>
          </xdr:nvSpPr>
          <xdr:spPr>
            <a:xfrm>
              <a:off x="177205" y="5118369"/>
              <a:ext cx="1481667" cy="6385720"/>
            </a:xfrm>
            <a:prstGeom prst="roundRect">
              <a:avLst>
                <a:gd name="adj" fmla="val 7941"/>
              </a:avLst>
            </a:prstGeom>
            <a:gradFill flip="none" rotWithShape="1">
              <a:gsLst>
                <a:gs pos="100000">
                  <a:srgbClr val="8164CF">
                    <a:alpha val="65000"/>
                  </a:srgbClr>
                </a:gs>
                <a:gs pos="0">
                  <a:srgbClr val="FB7187"/>
                </a:gs>
              </a:gsLst>
              <a:lin ang="5400000" scaled="1"/>
              <a:tileRect/>
            </a:gra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zh-CN" altLang="en-US" sz="1100" u="none"/>
            </a:p>
          </xdr:txBody>
        </xdr:sp>
        <xdr:sp macro="" textlink="">
          <xdr:nvSpPr>
            <xdr:cNvPr id="27" name="文本框 17">
              <a:extLst>
                <a:ext uri="{FF2B5EF4-FFF2-40B4-BE49-F238E27FC236}">
                  <a16:creationId xmlns:a16="http://schemas.microsoft.com/office/drawing/2014/main" id="{12C008FF-578B-EF41-0380-1893CBC3129F}"/>
                </a:ext>
              </a:extLst>
            </xdr:cNvPr>
            <xdr:cNvSpPr txBox="1"/>
          </xdr:nvSpPr>
          <xdr:spPr>
            <a:xfrm>
              <a:off x="198038" y="6079197"/>
              <a:ext cx="1440000" cy="360000"/>
            </a:xfrm>
            <a:prstGeom prst="rect">
              <a:avLst/>
            </a:prstGeom>
            <a:noFill/>
            <a:ln w="6350"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zh-CN" altLang="en-US" sz="1200" b="0" i="0" u="none" strike="noStrike">
                  <a:solidFill>
                    <a:schemeClr val="bg1"/>
                  </a:solidFill>
                  <a:effectLst/>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今年保费总计</a:t>
              </a:r>
            </a:p>
          </xdr:txBody>
        </xdr:sp>
        <xdr:sp macro="" textlink="">
          <xdr:nvSpPr>
            <xdr:cNvPr id="31" name="文本框 17">
              <a:extLst>
                <a:ext uri="{FF2B5EF4-FFF2-40B4-BE49-F238E27FC236}">
                  <a16:creationId xmlns:a16="http://schemas.microsoft.com/office/drawing/2014/main" id="{0FCD6139-5AE9-1398-99E1-430FA7D64C27}"/>
                </a:ext>
              </a:extLst>
            </xdr:cNvPr>
            <xdr:cNvSpPr txBox="1"/>
          </xdr:nvSpPr>
          <xdr:spPr>
            <a:xfrm>
              <a:off x="198038" y="7099429"/>
              <a:ext cx="1440000" cy="360000"/>
            </a:xfrm>
            <a:prstGeom prst="rect">
              <a:avLst/>
            </a:prstGeom>
            <a:noFill/>
            <a:ln w="6350"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r>
                <a:rPr lang="zh-CN" altLang="en-US" sz="1200" b="0" i="0" u="none" strike="noStrike">
                  <a:solidFill>
                    <a:schemeClr val="bg1"/>
                  </a:solidFill>
                  <a:effectLst/>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明年保费预期</a:t>
              </a:r>
            </a:p>
          </xdr:txBody>
        </xdr:sp>
        <xdr:sp macro="" textlink="">
          <xdr:nvSpPr>
            <xdr:cNvPr id="32" name="文本框 17">
              <a:extLst>
                <a:ext uri="{FF2B5EF4-FFF2-40B4-BE49-F238E27FC236}">
                  <a16:creationId xmlns:a16="http://schemas.microsoft.com/office/drawing/2014/main" id="{44FCF793-7FB1-E4EC-FF0C-E858537F5388}"/>
                </a:ext>
              </a:extLst>
            </xdr:cNvPr>
            <xdr:cNvSpPr txBox="1"/>
          </xdr:nvSpPr>
          <xdr:spPr>
            <a:xfrm>
              <a:off x="198038" y="8130246"/>
              <a:ext cx="1440000" cy="360000"/>
            </a:xfrm>
            <a:prstGeom prst="rect">
              <a:avLst/>
            </a:prstGeom>
            <a:noFill/>
            <a:ln w="6350"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r>
                <a:rPr lang="zh-CN" altLang="en-US" sz="1200" b="0" i="0" u="none" strike="noStrike">
                  <a:solidFill>
                    <a:schemeClr val="bg1"/>
                  </a:solidFill>
                  <a:effectLst/>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固定长险费用</a:t>
              </a:r>
            </a:p>
          </xdr:txBody>
        </xdr:sp>
        <xdr:sp macro="" textlink="">
          <xdr:nvSpPr>
            <xdr:cNvPr id="33" name="文本框 17">
              <a:extLst>
                <a:ext uri="{FF2B5EF4-FFF2-40B4-BE49-F238E27FC236}">
                  <a16:creationId xmlns:a16="http://schemas.microsoft.com/office/drawing/2014/main" id="{328B574D-24FB-E7E9-A1C5-A0F6E7D7E9C5}"/>
                </a:ext>
              </a:extLst>
            </xdr:cNvPr>
            <xdr:cNvSpPr txBox="1"/>
          </xdr:nvSpPr>
          <xdr:spPr>
            <a:xfrm>
              <a:off x="198038" y="8367313"/>
              <a:ext cx="1440000" cy="360000"/>
            </a:xfrm>
            <a:prstGeom prst="rect">
              <a:avLst/>
            </a:prstGeom>
            <a:noFill/>
            <a:ln w="6350"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zh-CN" altLang="en-US" sz="1050" b="0" i="0" u="none" strike="noStrike">
                  <a:solidFill>
                    <a:schemeClr val="bg1"/>
                  </a:solidFill>
                  <a:effectLst/>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重疾丨寿险丨理财</a:t>
              </a:r>
            </a:p>
          </xdr:txBody>
        </xdr:sp>
        <xdr:sp macro="" textlink="">
          <xdr:nvSpPr>
            <xdr:cNvPr id="34" name="文本框 17">
              <a:extLst>
                <a:ext uri="{FF2B5EF4-FFF2-40B4-BE49-F238E27FC236}">
                  <a16:creationId xmlns:a16="http://schemas.microsoft.com/office/drawing/2014/main" id="{38C1FC5E-B412-1E6C-49D7-BC3A87A69692}"/>
                </a:ext>
              </a:extLst>
            </xdr:cNvPr>
            <xdr:cNvSpPr txBox="1"/>
          </xdr:nvSpPr>
          <xdr:spPr>
            <a:xfrm>
              <a:off x="198038" y="9224563"/>
              <a:ext cx="1440000" cy="360000"/>
            </a:xfrm>
            <a:prstGeom prst="rect">
              <a:avLst/>
            </a:prstGeom>
            <a:noFill/>
            <a:ln w="6350"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r>
                <a:rPr lang="zh-CN" altLang="en-US" sz="1200" b="0" i="0" u="none" strike="noStrike">
                  <a:solidFill>
                    <a:schemeClr val="bg1"/>
                  </a:solidFill>
                  <a:effectLst/>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可能浮动费用</a:t>
              </a:r>
            </a:p>
          </xdr:txBody>
        </xdr:sp>
        <xdr:sp macro="" textlink="">
          <xdr:nvSpPr>
            <xdr:cNvPr id="35" name="文本框 17">
              <a:extLst>
                <a:ext uri="{FF2B5EF4-FFF2-40B4-BE49-F238E27FC236}">
                  <a16:creationId xmlns:a16="http://schemas.microsoft.com/office/drawing/2014/main" id="{2E3541B3-DA40-BC64-351A-C02306916D06}"/>
                </a:ext>
              </a:extLst>
            </xdr:cNvPr>
            <xdr:cNvSpPr txBox="1"/>
          </xdr:nvSpPr>
          <xdr:spPr>
            <a:xfrm>
              <a:off x="198038" y="10498797"/>
              <a:ext cx="1440000" cy="360000"/>
            </a:xfrm>
            <a:prstGeom prst="rect">
              <a:avLst/>
            </a:prstGeom>
            <a:noFill/>
            <a:ln w="6350"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r>
                <a:rPr lang="zh-CN" altLang="en-US" sz="1400" b="0" i="0" u="none" strike="noStrike">
                  <a:solidFill>
                    <a:schemeClr val="bg1"/>
                  </a:solidFill>
                  <a:effectLst/>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检视时间</a:t>
              </a:r>
            </a:p>
          </xdr:txBody>
        </xdr:sp>
        <xdr:sp macro="" textlink="$T$3">
          <xdr:nvSpPr>
            <xdr:cNvPr id="36" name="文本框 18">
              <a:extLst>
                <a:ext uri="{FF2B5EF4-FFF2-40B4-BE49-F238E27FC236}">
                  <a16:creationId xmlns:a16="http://schemas.microsoft.com/office/drawing/2014/main" id="{960EF7EF-1C34-8AE8-549B-BFBA8AD20BE0}"/>
                </a:ext>
              </a:extLst>
            </xdr:cNvPr>
            <xdr:cNvSpPr txBox="1"/>
          </xdr:nvSpPr>
          <xdr:spPr>
            <a:xfrm>
              <a:off x="198038" y="6454854"/>
              <a:ext cx="1440000" cy="360000"/>
            </a:xfrm>
            <a:prstGeom prst="rect">
              <a:avLst/>
            </a:prstGeom>
            <a:noFill/>
            <a:ln w="6350"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6192E5BB-C341-4D45-ACA8-96EE274DCC16}" type="TxLink">
                <a:rPr lang="en-US" altLang="en-US" sz="1400" b="0" i="0" u="none" strike="noStrike">
                  <a:solidFill>
                    <a:schemeClr val="tx1">
                      <a:lumMod val="75000"/>
                      <a:lumOff val="25000"/>
                    </a:schemeClr>
                  </a:solidFill>
                  <a:latin typeface="阿里巴巴普惠体 2.0 65 Medium"/>
                  <a:ea typeface="阿里巴巴普惠体 2.0 65 Medium"/>
                  <a:cs typeface="阿里巴巴普惠体 2.0 65 Medium"/>
                </a:rPr>
                <a:pPr marL="0" indent="0" algn="ctr"/>
                <a:t>5,367,020 </a:t>
              </a:fld>
              <a:endParaRPr lang="zh-CN" altLang="en-US" sz="2000" b="1" i="0" u="none" strike="noStrike">
                <a:solidFill>
                  <a:schemeClr val="tx1">
                    <a:lumMod val="75000"/>
                    <a:lumOff val="25000"/>
                  </a:schemeClr>
                </a:solidFill>
                <a:latin typeface="阿里巴巴普惠体 2.0 55 Regular"/>
                <a:ea typeface="阿里巴巴普惠体 2.0 55 Regular"/>
                <a:cs typeface="阿里巴巴普惠体 2.0 55 Regular"/>
              </a:endParaRPr>
            </a:p>
          </xdr:txBody>
        </xdr:sp>
        <xdr:sp macro="" textlink="$T$5">
          <xdr:nvSpPr>
            <xdr:cNvPr id="37" name="文本框 18">
              <a:extLst>
                <a:ext uri="{FF2B5EF4-FFF2-40B4-BE49-F238E27FC236}">
                  <a16:creationId xmlns:a16="http://schemas.microsoft.com/office/drawing/2014/main" id="{9114A470-F61A-A75F-C700-21D9977C9355}"/>
                </a:ext>
              </a:extLst>
            </xdr:cNvPr>
            <xdr:cNvSpPr txBox="1"/>
          </xdr:nvSpPr>
          <xdr:spPr>
            <a:xfrm>
              <a:off x="198038" y="7432753"/>
              <a:ext cx="1440000" cy="360000"/>
            </a:xfrm>
            <a:prstGeom prst="rect">
              <a:avLst/>
            </a:prstGeom>
            <a:noFill/>
            <a:ln w="6350"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AB76A38F-A10D-4710-8F5B-2F7CCCC94041}" type="TxLink">
                <a:rPr lang="en-US" altLang="en-US" sz="1400" b="0" i="0" u="none" strike="noStrike">
                  <a:solidFill>
                    <a:schemeClr val="tx1">
                      <a:lumMod val="75000"/>
                      <a:lumOff val="25000"/>
                    </a:schemeClr>
                  </a:solidFill>
                  <a:latin typeface="阿里巴巴普惠体 2.0 65 Medium"/>
                  <a:ea typeface="阿里巴巴普惠体 2.0 65 Medium"/>
                  <a:cs typeface="阿里巴巴普惠体 2.0 65 Medium"/>
                </a:rPr>
                <a:pPr marL="0" indent="0" algn="ctr"/>
                <a:t>2,367,020 </a:t>
              </a:fld>
              <a:endParaRPr lang="zh-CN" altLang="en-US" sz="1400" b="0" i="0" u="none" strike="noStrike">
                <a:solidFill>
                  <a:schemeClr val="tx1">
                    <a:lumMod val="75000"/>
                    <a:lumOff val="25000"/>
                  </a:schemeClr>
                </a:solidFill>
                <a:latin typeface="阿里巴巴普惠体 2.0 65 Medium"/>
                <a:ea typeface="阿里巴巴普惠体 2.0 65 Medium"/>
                <a:cs typeface="阿里巴巴普惠体 2.0 65 Medium"/>
              </a:endParaRPr>
            </a:p>
          </xdr:txBody>
        </xdr:sp>
        <xdr:sp macro="" textlink="$T$8">
          <xdr:nvSpPr>
            <xdr:cNvPr id="38" name="文本框 18">
              <a:extLst>
                <a:ext uri="{FF2B5EF4-FFF2-40B4-BE49-F238E27FC236}">
                  <a16:creationId xmlns:a16="http://schemas.microsoft.com/office/drawing/2014/main" id="{0810065B-1A9D-FC07-9735-1A5188135F03}"/>
                </a:ext>
              </a:extLst>
            </xdr:cNvPr>
            <xdr:cNvSpPr txBox="1"/>
          </xdr:nvSpPr>
          <xdr:spPr>
            <a:xfrm>
              <a:off x="198038" y="8706987"/>
              <a:ext cx="1440000" cy="360000"/>
            </a:xfrm>
            <a:prstGeom prst="rect">
              <a:avLst/>
            </a:prstGeom>
            <a:noFill/>
            <a:ln w="6350"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858ED7F1-B073-487A-A2F3-33887C6B21CA}" type="TxLink">
                <a:rPr lang="en-US" altLang="en-US" sz="1400" b="0" i="0" u="none" strike="noStrike">
                  <a:solidFill>
                    <a:schemeClr val="tx1">
                      <a:lumMod val="75000"/>
                      <a:lumOff val="25000"/>
                    </a:schemeClr>
                  </a:solidFill>
                  <a:latin typeface="阿里巴巴普惠体 2.0 65 Medium"/>
                  <a:ea typeface="阿里巴巴普惠体 2.0 65 Medium"/>
                  <a:cs typeface="阿里巴巴普惠体 2.0 65 Medium"/>
                </a:rPr>
                <a:pPr marL="0" indent="0" algn="ctr"/>
                <a:t>2,366,000 </a:t>
              </a:fld>
              <a:endParaRPr lang="zh-CN" altLang="en-US" sz="1400" b="0" i="0" u="none" strike="noStrike">
                <a:solidFill>
                  <a:schemeClr val="tx1">
                    <a:lumMod val="75000"/>
                    <a:lumOff val="25000"/>
                  </a:schemeClr>
                </a:solidFill>
                <a:latin typeface="阿里巴巴普惠体 2.0 65 Medium"/>
                <a:ea typeface="阿里巴巴普惠体 2.0 65 Medium"/>
                <a:cs typeface="阿里巴巴普惠体 2.0 65 Medium"/>
              </a:endParaRPr>
            </a:p>
          </xdr:txBody>
        </xdr:sp>
        <xdr:sp macro="" textlink="$T$11">
          <xdr:nvSpPr>
            <xdr:cNvPr id="39" name="文本框 18">
              <a:extLst>
                <a:ext uri="{FF2B5EF4-FFF2-40B4-BE49-F238E27FC236}">
                  <a16:creationId xmlns:a16="http://schemas.microsoft.com/office/drawing/2014/main" id="{CE037A3D-19A5-BEC9-E426-2080D49D7C1A}"/>
                </a:ext>
              </a:extLst>
            </xdr:cNvPr>
            <xdr:cNvSpPr txBox="1"/>
          </xdr:nvSpPr>
          <xdr:spPr>
            <a:xfrm>
              <a:off x="198038" y="9822470"/>
              <a:ext cx="1440000" cy="360000"/>
            </a:xfrm>
            <a:prstGeom prst="rect">
              <a:avLst/>
            </a:prstGeom>
            <a:noFill/>
            <a:ln w="6350"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CDEA0380-B620-4C59-A842-6B6CB40B4734}" type="TxLink">
                <a:rPr lang="en-US" altLang="en-US" sz="1400" b="0" i="0" u="none" strike="noStrike">
                  <a:solidFill>
                    <a:schemeClr val="tx1">
                      <a:lumMod val="75000"/>
                      <a:lumOff val="25000"/>
                    </a:schemeClr>
                  </a:solidFill>
                  <a:latin typeface="阿里巴巴普惠体 2.0 65 Medium"/>
                  <a:ea typeface="阿里巴巴普惠体 2.0 65 Medium"/>
                  <a:cs typeface="阿里巴巴普惠体 2.0 65 Medium"/>
                </a:rPr>
                <a:pPr marL="0" indent="0" algn="ctr"/>
                <a:t>1,020 </a:t>
              </a:fld>
              <a:endParaRPr lang="zh-CN" altLang="en-US" sz="1400" b="0" i="0" u="none" strike="noStrike">
                <a:solidFill>
                  <a:schemeClr val="tx1">
                    <a:lumMod val="75000"/>
                    <a:lumOff val="25000"/>
                  </a:schemeClr>
                </a:solidFill>
                <a:latin typeface="阿里巴巴普惠体 2.0 65 Medium"/>
                <a:ea typeface="阿里巴巴普惠体 2.0 65 Medium"/>
                <a:cs typeface="阿里巴巴普惠体 2.0 65 Medium"/>
              </a:endParaRPr>
            </a:p>
          </xdr:txBody>
        </xdr:sp>
        <xdr:sp macro="" textlink="$T$13">
          <xdr:nvSpPr>
            <xdr:cNvPr id="40" name="文本框 18">
              <a:extLst>
                <a:ext uri="{FF2B5EF4-FFF2-40B4-BE49-F238E27FC236}">
                  <a16:creationId xmlns:a16="http://schemas.microsoft.com/office/drawing/2014/main" id="{D6318166-4402-7EAE-255A-9CEC7F23DD69}"/>
                </a:ext>
              </a:extLst>
            </xdr:cNvPr>
            <xdr:cNvSpPr txBox="1"/>
          </xdr:nvSpPr>
          <xdr:spPr>
            <a:xfrm>
              <a:off x="198038" y="10853288"/>
              <a:ext cx="1440000" cy="360000"/>
            </a:xfrm>
            <a:prstGeom prst="rect">
              <a:avLst/>
            </a:prstGeom>
            <a:noFill/>
            <a:ln w="6350"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3F98A772-22F7-42F4-80B7-C8433400F464}" type="TxLink">
                <a:rPr lang="en-US" altLang="en-US" sz="1400" b="0" i="0" u="none" strike="noStrike">
                  <a:solidFill>
                    <a:schemeClr val="tx1">
                      <a:lumMod val="75000"/>
                      <a:lumOff val="25000"/>
                    </a:schemeClr>
                  </a:solidFill>
                  <a:latin typeface="阿里巴巴普惠体 2.0 65 Medium"/>
                  <a:ea typeface="阿里巴巴普惠体 2.0 65 Medium"/>
                  <a:cs typeface="阿里巴巴普惠体 2.0 65 Medium"/>
                </a:rPr>
                <a:pPr marL="0" indent="0" algn="ctr"/>
                <a:t>2025/11/3</a:t>
              </a:fld>
              <a:endParaRPr lang="zh-CN" altLang="en-US" sz="1400" b="0" i="0" u="none" strike="noStrike">
                <a:solidFill>
                  <a:schemeClr val="tx1">
                    <a:lumMod val="75000"/>
                    <a:lumOff val="25000"/>
                  </a:schemeClr>
                </a:solidFill>
                <a:latin typeface="阿里巴巴普惠体 2.0 65 Medium"/>
                <a:ea typeface="阿里巴巴普惠体 2.0 65 Medium"/>
                <a:cs typeface="阿里巴巴普惠体 2.0 65 Medium"/>
              </a:endParaRPr>
            </a:p>
          </xdr:txBody>
        </xdr:sp>
        <xdr:sp macro="" textlink="">
          <xdr:nvSpPr>
            <xdr:cNvPr id="42" name="矩形: 圆角 41">
              <a:extLst>
                <a:ext uri="{FF2B5EF4-FFF2-40B4-BE49-F238E27FC236}">
                  <a16:creationId xmlns:a16="http://schemas.microsoft.com/office/drawing/2014/main" id="{9C10CDE0-CAA3-FE48-07DA-8DE8B7C3521A}"/>
                </a:ext>
              </a:extLst>
            </xdr:cNvPr>
            <xdr:cNvSpPr/>
          </xdr:nvSpPr>
          <xdr:spPr>
            <a:xfrm>
              <a:off x="267163" y="6985001"/>
              <a:ext cx="1301751" cy="3302000"/>
            </a:xfrm>
            <a:prstGeom prst="roundRect">
              <a:avLst>
                <a:gd name="adj" fmla="val 10976"/>
              </a:avLst>
            </a:prstGeom>
            <a:no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zh-CN" altLang="en-US" sz="1100"/>
            </a:p>
          </xdr:txBody>
        </xdr:sp>
        <xdr:sp macro="" textlink="">
          <xdr:nvSpPr>
            <xdr:cNvPr id="48" name="文本框 17">
              <a:extLst>
                <a:ext uri="{FF2B5EF4-FFF2-40B4-BE49-F238E27FC236}">
                  <a16:creationId xmlns:a16="http://schemas.microsoft.com/office/drawing/2014/main" id="{019FD01A-E1AB-E8FB-3402-BA4F505780C1}"/>
                </a:ext>
              </a:extLst>
            </xdr:cNvPr>
            <xdr:cNvSpPr txBox="1"/>
          </xdr:nvSpPr>
          <xdr:spPr>
            <a:xfrm>
              <a:off x="198038" y="9503962"/>
              <a:ext cx="1440000" cy="360000"/>
            </a:xfrm>
            <a:prstGeom prst="rect">
              <a:avLst/>
            </a:prstGeom>
            <a:noFill/>
            <a:ln w="6350"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zh-CN" altLang="en-US" sz="1200" b="0" i="0" u="none" strike="noStrike">
                  <a:solidFill>
                    <a:schemeClr val="bg1"/>
                  </a:solidFill>
                  <a:effectLst/>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医疗丨意外</a:t>
              </a:r>
            </a:p>
          </xdr:txBody>
        </xdr:sp>
        <xdr:sp macro="" textlink="">
          <xdr:nvSpPr>
            <xdr:cNvPr id="18" name="矩形: 圆角 17">
              <a:extLst>
                <a:ext uri="{FF2B5EF4-FFF2-40B4-BE49-F238E27FC236}">
                  <a16:creationId xmlns:a16="http://schemas.microsoft.com/office/drawing/2014/main" id="{BBA413A2-6A4E-D63F-40FD-D2B09EBC4DEB}"/>
                </a:ext>
              </a:extLst>
            </xdr:cNvPr>
            <xdr:cNvSpPr/>
          </xdr:nvSpPr>
          <xdr:spPr>
            <a:xfrm>
              <a:off x="267163" y="6026151"/>
              <a:ext cx="1301751" cy="821266"/>
            </a:xfrm>
            <a:prstGeom prst="roundRect">
              <a:avLst>
                <a:gd name="adj" fmla="val 18708"/>
              </a:avLst>
            </a:prstGeom>
            <a:no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zh-CN" altLang="en-US" sz="1100"/>
            </a:p>
          </xdr:txBody>
        </xdr:sp>
        <xdr:sp macro="" textlink="">
          <xdr:nvSpPr>
            <xdr:cNvPr id="21" name="矩形: 圆角 20">
              <a:extLst>
                <a:ext uri="{FF2B5EF4-FFF2-40B4-BE49-F238E27FC236}">
                  <a16:creationId xmlns:a16="http://schemas.microsoft.com/office/drawing/2014/main" id="{F9D0BFDC-BDC6-0F9A-5492-ACE4611D49FC}"/>
                </a:ext>
              </a:extLst>
            </xdr:cNvPr>
            <xdr:cNvSpPr/>
          </xdr:nvSpPr>
          <xdr:spPr>
            <a:xfrm>
              <a:off x="267163" y="10443634"/>
              <a:ext cx="1301751" cy="821266"/>
            </a:xfrm>
            <a:prstGeom prst="roundRect">
              <a:avLst>
                <a:gd name="adj" fmla="val 16131"/>
              </a:avLst>
            </a:prstGeom>
            <a:no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zh-CN" altLang="en-US" sz="1100"/>
            </a:p>
          </xdr:txBody>
        </xdr:sp>
      </xdr:grpSp>
      <xdr:pic>
        <xdr:nvPicPr>
          <xdr:cNvPr id="10" name="图片 9" descr="图标&#10;&#10;描述已自动生成">
            <a:extLst>
              <a:ext uri="{FF2B5EF4-FFF2-40B4-BE49-F238E27FC236}">
                <a16:creationId xmlns:a16="http://schemas.microsoft.com/office/drawing/2014/main" id="{6DCDE4EB-4D65-DED2-1C9F-52BBC48E1D4D}"/>
              </a:ext>
            </a:extLst>
          </xdr:cNvPr>
          <xdr:cNvPicPr>
            <a:picLocks noChangeAspect="1"/>
          </xdr:cNvPicPr>
        </xdr:nvPicPr>
        <xdr:blipFill>
          <a:blip xmlns:r="http://schemas.openxmlformats.org/officeDocument/2006/relationships" r:embed="rId8"/>
          <a:stretch>
            <a:fillRect/>
          </a:stretch>
        </xdr:blipFill>
        <xdr:spPr>
          <a:xfrm>
            <a:off x="440564" y="4974166"/>
            <a:ext cx="952500" cy="952500"/>
          </a:xfrm>
          <a:prstGeom prst="rect">
            <a:avLst/>
          </a:prstGeom>
        </xdr:spPr>
      </xdr:pic>
    </xdr:grpSp>
    <xdr:clientData/>
  </xdr:twoCellAnchor>
  <xdr:twoCellAnchor>
    <xdr:from>
      <xdr:col>1</xdr:col>
      <xdr:colOff>1355</xdr:colOff>
      <xdr:row>6</xdr:row>
      <xdr:rowOff>42333</xdr:rowOff>
    </xdr:from>
    <xdr:to>
      <xdr:col>1</xdr:col>
      <xdr:colOff>1325226</xdr:colOff>
      <xdr:row>14</xdr:row>
      <xdr:rowOff>15874</xdr:rowOff>
    </xdr:to>
    <xdr:sp macro="" textlink="">
      <xdr:nvSpPr>
        <xdr:cNvPr id="50" name="矩形: 圆角 49">
          <a:extLst>
            <a:ext uri="{FF2B5EF4-FFF2-40B4-BE49-F238E27FC236}">
              <a16:creationId xmlns:a16="http://schemas.microsoft.com/office/drawing/2014/main" id="{F25467A5-200C-DD79-B647-81D6B52955EB}"/>
            </a:ext>
          </a:extLst>
        </xdr:cNvPr>
        <xdr:cNvSpPr/>
      </xdr:nvSpPr>
      <xdr:spPr>
        <a:xfrm>
          <a:off x="60622" y="2328333"/>
          <a:ext cx="1323871" cy="2547408"/>
        </a:xfrm>
        <a:prstGeom prst="roundRect">
          <a:avLst>
            <a:gd name="adj" fmla="val 7941"/>
          </a:avLst>
        </a:prstGeom>
        <a:gradFill flip="none" rotWithShape="1">
          <a:gsLst>
            <a:gs pos="0">
              <a:srgbClr val="2EABB8"/>
            </a:gs>
            <a:gs pos="100000">
              <a:srgbClr val="02AE8D"/>
            </a:gs>
          </a:gsLst>
          <a:lin ang="8100000" scaled="1"/>
          <a:tileRect/>
        </a:gradFill>
        <a:ln>
          <a:noFill/>
        </a:ln>
        <a:effectLst>
          <a:outerShdw blurRad="50800" dist="38100" dir="5400000" algn="t" rotWithShape="0">
            <a:prstClr val="black">
              <a:alpha val="5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zh-CN" altLang="en-US" sz="1100" u="none"/>
        </a:p>
      </xdr:txBody>
    </xdr:sp>
    <xdr:clientData/>
  </xdr:twoCellAnchor>
  <xdr:twoCellAnchor>
    <xdr:from>
      <xdr:col>1</xdr:col>
      <xdr:colOff>88156</xdr:colOff>
      <xdr:row>8</xdr:row>
      <xdr:rowOff>262729</xdr:rowOff>
    </xdr:from>
    <xdr:to>
      <xdr:col>1</xdr:col>
      <xdr:colOff>1238424</xdr:colOff>
      <xdr:row>10</xdr:row>
      <xdr:rowOff>3516</xdr:rowOff>
    </xdr:to>
    <xdr:sp macro="" textlink="$R$3">
      <xdr:nvSpPr>
        <xdr:cNvPr id="3" name="文本框 18">
          <a:extLst>
            <a:ext uri="{FF2B5EF4-FFF2-40B4-BE49-F238E27FC236}">
              <a16:creationId xmlns:a16="http://schemas.microsoft.com/office/drawing/2014/main" id="{6A4BDAA4-2129-43BA-93CC-E7851BE42D46}"/>
            </a:ext>
          </a:extLst>
        </xdr:cNvPr>
        <xdr:cNvSpPr txBox="1"/>
      </xdr:nvSpPr>
      <xdr:spPr>
        <a:xfrm>
          <a:off x="147423" y="3192196"/>
          <a:ext cx="1150268" cy="384253"/>
        </a:xfrm>
        <a:prstGeom prst="roundRect">
          <a:avLst/>
        </a:prstGeom>
        <a:noFill/>
        <a:ln w="6350" cmpd="sng">
          <a:solidFill>
            <a:schemeClr val="bg1"/>
          </a:solidFill>
        </a:ln>
        <a:effectLst>
          <a:outerShdw blurRad="50800" dist="25400" dir="5400000" algn="t"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1690DF80-C286-431F-8898-0C8238E6D99B}" type="TxLink">
            <a:rPr lang="zh-CN" altLang="en-US" sz="1600" b="1" i="0" u="none" strike="noStrike">
              <a:solidFill>
                <a:schemeClr val="bg1"/>
              </a:solidFill>
              <a:latin typeface="阿里巴巴普惠体 2.0 55 Regular"/>
              <a:ea typeface="阿里巴巴普惠体 2.0 55 Regular"/>
              <a:cs typeface="阿里巴巴普惠体 2.0 55 Regular"/>
            </a:rPr>
            <a:pPr marL="0" indent="0" algn="ctr"/>
            <a:t>阿朱</a:t>
          </a:fld>
          <a:endParaRPr lang="zh-CN" altLang="en-US" sz="1600" b="1" i="0" u="none" strike="noStrike">
            <a:solidFill>
              <a:schemeClr val="bg1"/>
            </a:solidFill>
            <a:latin typeface="阿里巴巴普惠体 2.0 55 Regular"/>
            <a:ea typeface="阿里巴巴普惠体 2.0 55 Regular"/>
            <a:cs typeface="阿里巴巴普惠体 2.0 55 Regular"/>
          </a:endParaRPr>
        </a:p>
      </xdr:txBody>
    </xdr:sp>
    <xdr:clientData/>
  </xdr:twoCellAnchor>
  <xdr:twoCellAnchor>
    <xdr:from>
      <xdr:col>1</xdr:col>
      <xdr:colOff>88156</xdr:colOff>
      <xdr:row>7</xdr:row>
      <xdr:rowOff>129</xdr:rowOff>
    </xdr:from>
    <xdr:to>
      <xdr:col>1</xdr:col>
      <xdr:colOff>1238424</xdr:colOff>
      <xdr:row>8</xdr:row>
      <xdr:rowOff>59792</xdr:rowOff>
    </xdr:to>
    <xdr:sp macro="" textlink="$R$2">
      <xdr:nvSpPr>
        <xdr:cNvPr id="5" name="文本框 17">
          <a:extLst>
            <a:ext uri="{FF2B5EF4-FFF2-40B4-BE49-F238E27FC236}">
              <a16:creationId xmlns:a16="http://schemas.microsoft.com/office/drawing/2014/main" id="{77F6F6F3-FD8D-4C32-B2F4-40274E68F674}"/>
            </a:ext>
          </a:extLst>
        </xdr:cNvPr>
        <xdr:cNvSpPr txBox="1"/>
      </xdr:nvSpPr>
      <xdr:spPr>
        <a:xfrm>
          <a:off x="147423" y="2607862"/>
          <a:ext cx="1150268" cy="381397"/>
        </a:xfrm>
        <a:prstGeom prst="roundRect">
          <a:avLst/>
        </a:prstGeom>
        <a:noFill/>
        <a:ln w="6350" cmpd="sng">
          <a:solidFill>
            <a:schemeClr val="bg1"/>
          </a:solidFill>
        </a:ln>
        <a:effectLst>
          <a:outerShdw blurRad="50800" dist="25400" dir="5400000" algn="t"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5C629F76-0B5F-48F0-8A7D-569B203F1E11}" type="TxLink">
            <a:rPr lang="zh-CN" altLang="en-US" sz="1600" b="1" i="0" u="none" strike="noStrike">
              <a:solidFill>
                <a:schemeClr val="bg1"/>
              </a:solidFill>
              <a:latin typeface="阿里巴巴普惠体 2.0 55 Regular"/>
              <a:ea typeface="阿里巴巴普惠体 2.0 55 Regular"/>
              <a:cs typeface="阿里巴巴普惠体 2.0 55 Regular"/>
            </a:rPr>
            <a:pPr algn="ctr"/>
            <a:t>萧远山</a:t>
          </a:fld>
          <a:endParaRPr lang="zh-CN" altLang="en-US" sz="1600" b="1" u="none">
            <a:solidFill>
              <a:schemeClr val="bg1"/>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endParaRPr>
        </a:p>
      </xdr:txBody>
    </xdr:sp>
    <xdr:clientData/>
  </xdr:twoCellAnchor>
  <xdr:twoCellAnchor>
    <xdr:from>
      <xdr:col>1</xdr:col>
      <xdr:colOff>88156</xdr:colOff>
      <xdr:row>10</xdr:row>
      <xdr:rowOff>206453</xdr:rowOff>
    </xdr:from>
    <xdr:to>
      <xdr:col>1</xdr:col>
      <xdr:colOff>1238424</xdr:colOff>
      <xdr:row>11</xdr:row>
      <xdr:rowOff>264740</xdr:rowOff>
    </xdr:to>
    <xdr:sp macro="" textlink="$R$4">
      <xdr:nvSpPr>
        <xdr:cNvPr id="11" name="文本框 18">
          <a:extLst>
            <a:ext uri="{FF2B5EF4-FFF2-40B4-BE49-F238E27FC236}">
              <a16:creationId xmlns:a16="http://schemas.microsoft.com/office/drawing/2014/main" id="{C1DBE034-95D3-2B55-E9D1-FE7AA1C71FFA}"/>
            </a:ext>
          </a:extLst>
        </xdr:cNvPr>
        <xdr:cNvSpPr txBox="1"/>
      </xdr:nvSpPr>
      <xdr:spPr>
        <a:xfrm>
          <a:off x="147423" y="3779386"/>
          <a:ext cx="1150268" cy="380021"/>
        </a:xfrm>
        <a:prstGeom prst="roundRect">
          <a:avLst/>
        </a:prstGeom>
        <a:noFill/>
        <a:ln w="6350" cmpd="sng">
          <a:solidFill>
            <a:schemeClr val="bg1"/>
          </a:solidFill>
        </a:ln>
        <a:effectLst>
          <a:outerShdw blurRad="50800" dist="25400" dir="5400000" algn="t"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17371D60-D570-4EAE-A4BF-D44ADF6BFB22}" type="TxLink">
            <a:rPr lang="zh-CN" altLang="en-US" sz="1600" b="1" i="0" u="none" strike="noStrike">
              <a:solidFill>
                <a:schemeClr val="bg1"/>
              </a:solidFill>
              <a:latin typeface="阿里巴巴普惠体 2.0 55 Regular"/>
              <a:ea typeface="阿里巴巴普惠体 2.0 55 Regular"/>
              <a:cs typeface="阿里巴巴普惠体 2.0 55 Regular"/>
            </a:rPr>
            <a:pPr marL="0" indent="0" algn="ctr"/>
            <a:t> </a:t>
          </a:fld>
          <a:endParaRPr lang="zh-CN" altLang="en-US" sz="1600" b="1" i="0" u="none" strike="noStrike">
            <a:solidFill>
              <a:schemeClr val="bg1"/>
            </a:solidFill>
            <a:latin typeface="阿里巴巴普惠体 2.0 55 Regular"/>
            <a:ea typeface="阿里巴巴普惠体 2.0 55 Regular"/>
            <a:cs typeface="阿里巴巴普惠体 2.0 55 Regular"/>
          </a:endParaRPr>
        </a:p>
      </xdr:txBody>
    </xdr:sp>
    <xdr:clientData/>
  </xdr:twoCellAnchor>
  <xdr:twoCellAnchor>
    <xdr:from>
      <xdr:col>1</xdr:col>
      <xdr:colOff>88156</xdr:colOff>
      <xdr:row>12</xdr:row>
      <xdr:rowOff>150177</xdr:rowOff>
    </xdr:from>
    <xdr:to>
      <xdr:col>1</xdr:col>
      <xdr:colOff>1238424</xdr:colOff>
      <xdr:row>13</xdr:row>
      <xdr:rowOff>203654</xdr:rowOff>
    </xdr:to>
    <xdr:sp macro="" textlink="$R$5">
      <xdr:nvSpPr>
        <xdr:cNvPr id="17" name="文本框 18">
          <a:extLst>
            <a:ext uri="{FF2B5EF4-FFF2-40B4-BE49-F238E27FC236}">
              <a16:creationId xmlns:a16="http://schemas.microsoft.com/office/drawing/2014/main" id="{E24897D7-1A24-AA83-E4DC-4427C99BD168}"/>
            </a:ext>
          </a:extLst>
        </xdr:cNvPr>
        <xdr:cNvSpPr txBox="1"/>
      </xdr:nvSpPr>
      <xdr:spPr>
        <a:xfrm>
          <a:off x="147423" y="4366577"/>
          <a:ext cx="1150268" cy="375210"/>
        </a:xfrm>
        <a:prstGeom prst="roundRect">
          <a:avLst/>
        </a:prstGeom>
        <a:noFill/>
        <a:ln w="6350" cmpd="sng">
          <a:solidFill>
            <a:schemeClr val="bg1"/>
          </a:solidFill>
        </a:ln>
        <a:effectLst>
          <a:outerShdw blurRad="50800" dist="25400" dir="5400000" algn="t"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2318F27C-FE09-4A72-A371-597522D2B41C}" type="TxLink">
            <a:rPr lang="zh-CN" altLang="en-US" sz="1600" b="1" i="0" u="none" strike="noStrike">
              <a:solidFill>
                <a:schemeClr val="bg1"/>
              </a:solidFill>
              <a:latin typeface="阿里巴巴普惠体 2.0 55 Regular"/>
              <a:ea typeface="阿里巴巴普惠体 2.0 55 Regular"/>
              <a:cs typeface="阿里巴巴普惠体 2.0 55 Regular"/>
            </a:rPr>
            <a:pPr marL="0" indent="0" algn="ctr"/>
            <a:t> </a:t>
          </a:fld>
          <a:endParaRPr lang="zh-CN" altLang="en-US" sz="1600" b="1" i="0" u="none" strike="noStrike">
            <a:solidFill>
              <a:schemeClr val="bg1"/>
            </a:solidFill>
            <a:latin typeface="阿里巴巴普惠体 2.0 55 Regular"/>
            <a:ea typeface="阿里巴巴普惠体 2.0 55 Regular"/>
            <a:cs typeface="阿里巴巴普惠体 2.0 55 Regular"/>
          </a:endParaRPr>
        </a:p>
      </xdr:txBody>
    </xdr:sp>
    <xdr:clientData/>
  </xdr:twoCellAnchor>
  <xdr:twoCellAnchor>
    <xdr:from>
      <xdr:col>1</xdr:col>
      <xdr:colOff>367974</xdr:colOff>
      <xdr:row>5</xdr:row>
      <xdr:rowOff>105834</xdr:rowOff>
    </xdr:from>
    <xdr:to>
      <xdr:col>1</xdr:col>
      <xdr:colOff>958606</xdr:colOff>
      <xdr:row>7</xdr:row>
      <xdr:rowOff>13835</xdr:rowOff>
    </xdr:to>
    <xdr:pic>
      <xdr:nvPicPr>
        <xdr:cNvPr id="16" name="图片 15" descr="卡通人物&#10;&#10;中度可信度描述已自动生成">
          <a:extLst>
            <a:ext uri="{FF2B5EF4-FFF2-40B4-BE49-F238E27FC236}">
              <a16:creationId xmlns:a16="http://schemas.microsoft.com/office/drawing/2014/main" id="{FAFDB9F8-F1DE-503B-2B02-3022914BC087}"/>
            </a:ext>
          </a:extLst>
        </xdr:cNvPr>
        <xdr:cNvPicPr>
          <a:picLocks noChangeAspect="1"/>
        </xdr:cNvPicPr>
      </xdr:nvPicPr>
      <xdr:blipFill>
        <a:blip xmlns:r="http://schemas.openxmlformats.org/officeDocument/2006/relationships" r:embed="rId9"/>
        <a:stretch>
          <a:fillRect/>
        </a:stretch>
      </xdr:blipFill>
      <xdr:spPr>
        <a:xfrm>
          <a:off x="427241" y="2070101"/>
          <a:ext cx="590632" cy="551467"/>
        </a:xfrm>
        <a:prstGeom prst="rect">
          <a:avLst/>
        </a:prstGeom>
      </xdr:spPr>
    </xdr:pic>
    <xdr:clientData/>
  </xdr:twoCellAnchor>
  <xdr:twoCellAnchor>
    <xdr:from>
      <xdr:col>0</xdr:col>
      <xdr:colOff>158750</xdr:colOff>
      <xdr:row>2</xdr:row>
      <xdr:rowOff>84667</xdr:rowOff>
    </xdr:from>
    <xdr:to>
      <xdr:col>2</xdr:col>
      <xdr:colOff>19352</xdr:colOff>
      <xdr:row>3</xdr:row>
      <xdr:rowOff>252938</xdr:rowOff>
    </xdr:to>
    <xdr:pic>
      <xdr:nvPicPr>
        <xdr:cNvPr id="41" name="图片 40" descr="图标&#10;&#10;中度可信度描述已自动生成">
          <a:extLst>
            <a:ext uri="{FF2B5EF4-FFF2-40B4-BE49-F238E27FC236}">
              <a16:creationId xmlns:a16="http://schemas.microsoft.com/office/drawing/2014/main" id="{32FEEF4A-BC87-C97F-9532-3F56DC0CF786}"/>
            </a:ext>
          </a:extLst>
        </xdr:cNvPr>
        <xdr:cNvPicPr>
          <a:picLocks noChangeAspect="1"/>
        </xdr:cNvPicPr>
      </xdr:nvPicPr>
      <xdr:blipFill>
        <a:blip xmlns:r="http://schemas.openxmlformats.org/officeDocument/2006/relationships" r:embed="rId10"/>
        <a:stretch>
          <a:fillRect/>
        </a:stretch>
      </xdr:blipFill>
      <xdr:spPr>
        <a:xfrm>
          <a:off x="158750" y="910167"/>
          <a:ext cx="1530229" cy="432854"/>
        </a:xfrm>
        <a:prstGeom prst="rect">
          <a:avLst/>
        </a:prstGeom>
      </xdr:spPr>
    </xdr:pic>
    <xdr:clientData/>
  </xdr:twoCellAnchor>
  <xdr:twoCellAnchor>
    <xdr:from>
      <xdr:col>0</xdr:col>
      <xdr:colOff>58420</xdr:colOff>
      <xdr:row>0</xdr:row>
      <xdr:rowOff>0</xdr:rowOff>
    </xdr:from>
    <xdr:to>
      <xdr:col>11</xdr:col>
      <xdr:colOff>1634066</xdr:colOff>
      <xdr:row>2</xdr:row>
      <xdr:rowOff>67734</xdr:rowOff>
    </xdr:to>
    <xdr:grpSp>
      <xdr:nvGrpSpPr>
        <xdr:cNvPr id="25" name="组合 24">
          <a:extLst>
            <a:ext uri="{FF2B5EF4-FFF2-40B4-BE49-F238E27FC236}">
              <a16:creationId xmlns:a16="http://schemas.microsoft.com/office/drawing/2014/main" id="{13B046A5-0420-44F4-882F-CB7DDF7E1110}"/>
            </a:ext>
          </a:extLst>
        </xdr:cNvPr>
        <xdr:cNvGrpSpPr/>
      </xdr:nvGrpSpPr>
      <xdr:grpSpPr>
        <a:xfrm>
          <a:off x="58420" y="0"/>
          <a:ext cx="14434396" cy="886884"/>
          <a:chOff x="60961" y="38100"/>
          <a:chExt cx="14767559" cy="897467"/>
        </a:xfrm>
      </xdr:grpSpPr>
      <xdr:sp macro="" textlink="">
        <xdr:nvSpPr>
          <xdr:cNvPr id="28" name="矩形: 圆角 27">
            <a:extLst>
              <a:ext uri="{FF2B5EF4-FFF2-40B4-BE49-F238E27FC236}">
                <a16:creationId xmlns:a16="http://schemas.microsoft.com/office/drawing/2014/main" id="{7A077FC7-D22E-3B80-4DFE-4098A15FDB3F}"/>
              </a:ext>
            </a:extLst>
          </xdr:cNvPr>
          <xdr:cNvSpPr/>
        </xdr:nvSpPr>
        <xdr:spPr>
          <a:xfrm>
            <a:off x="76201" y="167639"/>
            <a:ext cx="14752319" cy="635000"/>
          </a:xfrm>
          <a:prstGeom prst="roundRect">
            <a:avLst/>
          </a:prstGeom>
          <a:gradFill>
            <a:gsLst>
              <a:gs pos="0">
                <a:schemeClr val="accent1">
                  <a:lumMod val="60000"/>
                  <a:lumOff val="40000"/>
                </a:schemeClr>
              </a:gs>
              <a:gs pos="0">
                <a:srgbClr val="C17CFF"/>
              </a:gs>
              <a:gs pos="100000">
                <a:srgbClr val="FF7C80"/>
              </a:gs>
            </a:gsLst>
            <a:lin ang="10800000" scaled="1"/>
          </a:gra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zh-CN" altLang="en-US" sz="1100"/>
          </a:p>
        </xdr:txBody>
      </xdr:sp>
      <xdr:pic>
        <xdr:nvPicPr>
          <xdr:cNvPr id="29" name="图片 28">
            <a:extLst>
              <a:ext uri="{FF2B5EF4-FFF2-40B4-BE49-F238E27FC236}">
                <a16:creationId xmlns:a16="http://schemas.microsoft.com/office/drawing/2014/main" id="{80531404-2362-AB7C-B9F7-9ADE8777FA3E}"/>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5333509" y="38100"/>
            <a:ext cx="915542" cy="897467"/>
          </a:xfrm>
          <a:prstGeom prst="rect">
            <a:avLst/>
          </a:prstGeom>
        </xdr:spPr>
      </xdr:pic>
      <xdr:sp macro="" textlink="">
        <xdr:nvSpPr>
          <xdr:cNvPr id="30" name="文本框 29">
            <a:extLst>
              <a:ext uri="{FF2B5EF4-FFF2-40B4-BE49-F238E27FC236}">
                <a16:creationId xmlns:a16="http://schemas.microsoft.com/office/drawing/2014/main" id="{66EB8E00-A839-E75A-0949-D6F35B36A10F}"/>
              </a:ext>
            </a:extLst>
          </xdr:cNvPr>
          <xdr:cNvSpPr txBox="1"/>
        </xdr:nvSpPr>
        <xdr:spPr>
          <a:xfrm>
            <a:off x="125988" y="141393"/>
            <a:ext cx="1286941" cy="533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zh-CN" altLang="en-US" sz="3200">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尧典</a:t>
            </a:r>
          </a:p>
        </xdr:txBody>
      </xdr:sp>
      <xdr:sp macro="" textlink="">
        <xdr:nvSpPr>
          <xdr:cNvPr id="43" name="文本框 42">
            <a:extLst>
              <a:ext uri="{FF2B5EF4-FFF2-40B4-BE49-F238E27FC236}">
                <a16:creationId xmlns:a16="http://schemas.microsoft.com/office/drawing/2014/main" id="{52A58002-D74D-F9DA-D5FC-4E811D69899C}"/>
              </a:ext>
            </a:extLst>
          </xdr:cNvPr>
          <xdr:cNvSpPr txBox="1"/>
        </xdr:nvSpPr>
        <xdr:spPr>
          <a:xfrm>
            <a:off x="5113021" y="233679"/>
            <a:ext cx="5273040" cy="533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zh-CN" altLang="en-US" sz="2400">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洞见，源于每一次记录</a:t>
            </a:r>
          </a:p>
        </xdr:txBody>
      </xdr:sp>
      <xdr:sp macro="" textlink="">
        <xdr:nvSpPr>
          <xdr:cNvPr id="45" name="文本框 44">
            <a:extLst>
              <a:ext uri="{FF2B5EF4-FFF2-40B4-BE49-F238E27FC236}">
                <a16:creationId xmlns:a16="http://schemas.microsoft.com/office/drawing/2014/main" id="{F2CBD9ED-75E9-FDDB-8798-CF9FDB4831A5}"/>
              </a:ext>
            </a:extLst>
          </xdr:cNvPr>
          <xdr:cNvSpPr txBox="1"/>
        </xdr:nvSpPr>
        <xdr:spPr>
          <a:xfrm>
            <a:off x="60961" y="579120"/>
            <a:ext cx="143256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altLang="zh-CN" sz="1200" b="1">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wenjings.com</a:t>
            </a:r>
            <a:endParaRPr lang="zh-CN" altLang="en-US" sz="1200" b="1">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521891</xdr:colOff>
      <xdr:row>2</xdr:row>
      <xdr:rowOff>148167</xdr:rowOff>
    </xdr:from>
    <xdr:to>
      <xdr:col>13</xdr:col>
      <xdr:colOff>119063</xdr:colOff>
      <xdr:row>10</xdr:row>
      <xdr:rowOff>107154</xdr:rowOff>
    </xdr:to>
    <xdr:graphicFrame macro="">
      <xdr:nvGraphicFramePr>
        <xdr:cNvPr id="34" name="图表 33">
          <a:extLst>
            <a:ext uri="{FF2B5EF4-FFF2-40B4-BE49-F238E27FC236}">
              <a16:creationId xmlns:a16="http://schemas.microsoft.com/office/drawing/2014/main" id="{F7AA5FB3-4F04-DB22-79B2-E54607188FA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502920</xdr:colOff>
      <xdr:row>2</xdr:row>
      <xdr:rowOff>480061</xdr:rowOff>
    </xdr:from>
    <xdr:to>
      <xdr:col>13</xdr:col>
      <xdr:colOff>106680</xdr:colOff>
      <xdr:row>4</xdr:row>
      <xdr:rowOff>259081</xdr:rowOff>
    </xdr:to>
    <xdr:sp macro="" textlink="">
      <xdr:nvSpPr>
        <xdr:cNvPr id="28" name="文本框 27">
          <a:extLst>
            <a:ext uri="{FF2B5EF4-FFF2-40B4-BE49-F238E27FC236}">
              <a16:creationId xmlns:a16="http://schemas.microsoft.com/office/drawing/2014/main" id="{1F6DEF6C-2024-4B16-913A-53849D74DE59}"/>
            </a:ext>
          </a:extLst>
        </xdr:cNvPr>
        <xdr:cNvSpPr txBox="1"/>
      </xdr:nvSpPr>
      <xdr:spPr>
        <a:xfrm>
          <a:off x="8229600" y="1272541"/>
          <a:ext cx="4282440" cy="449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zh-CN" altLang="en-US" sz="1200" b="0" i="0" u="none" strike="noStrike">
              <a:solidFill>
                <a:srgbClr val="333F55"/>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理财保险数据相对复杂，如需深度分析</a:t>
          </a:r>
          <a:r>
            <a:rPr lang="zh-CN" altLang="zh-CN" sz="1200" b="0" i="0">
              <a:solidFill>
                <a:srgbClr val="333F55"/>
              </a:solidFill>
              <a:effectLst/>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建议</a:t>
          </a:r>
          <a:r>
            <a:rPr lang="zh-CN" altLang="en-US" sz="1200" b="0" i="0">
              <a:solidFill>
                <a:srgbClr val="333F55"/>
              </a:solidFill>
              <a:effectLst/>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配套</a:t>
          </a:r>
          <a:r>
            <a:rPr lang="zh-CN" altLang="zh-CN" sz="1200" b="0" i="0">
              <a:solidFill>
                <a:srgbClr val="333F55"/>
              </a:solidFill>
              <a:effectLst/>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使用</a:t>
          </a:r>
          <a:r>
            <a:rPr lang="en-US" altLang="zh-CN" sz="1200" b="0" i="0">
              <a:solidFill>
                <a:srgbClr val="333F55"/>
              </a:solidFill>
              <a:effectLst/>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LCFA</a:t>
          </a:r>
          <a:endParaRPr lang="en-US" altLang="en-US" sz="1200" b="0" i="0" u="none" strike="noStrike">
            <a:solidFill>
              <a:srgbClr val="333F55"/>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endParaRPr>
        </a:p>
      </xdr:txBody>
    </xdr:sp>
    <xdr:clientData/>
  </xdr:twoCellAnchor>
  <xdr:twoCellAnchor>
    <xdr:from>
      <xdr:col>14</xdr:col>
      <xdr:colOff>240729</xdr:colOff>
      <xdr:row>2</xdr:row>
      <xdr:rowOff>147855</xdr:rowOff>
    </xdr:from>
    <xdr:to>
      <xdr:col>18</xdr:col>
      <xdr:colOff>3036</xdr:colOff>
      <xdr:row>10</xdr:row>
      <xdr:rowOff>95250</xdr:rowOff>
    </xdr:to>
    <xdr:sp macro="" textlink="">
      <xdr:nvSpPr>
        <xdr:cNvPr id="26" name="矩形: 圆角 25">
          <a:extLst>
            <a:ext uri="{FF2B5EF4-FFF2-40B4-BE49-F238E27FC236}">
              <a16:creationId xmlns:a16="http://schemas.microsoft.com/office/drawing/2014/main" id="{885ACD9C-7AA0-910F-D48B-E997884305D8}"/>
            </a:ext>
          </a:extLst>
        </xdr:cNvPr>
        <xdr:cNvSpPr/>
      </xdr:nvSpPr>
      <xdr:spPr>
        <a:xfrm>
          <a:off x="12844209" y="940335"/>
          <a:ext cx="2109267" cy="3978375"/>
        </a:xfrm>
        <a:prstGeom prst="roundRect">
          <a:avLst>
            <a:gd name="adj" fmla="val 6246"/>
          </a:avLst>
        </a:prstGeom>
        <a:solidFill>
          <a:srgbClr val="FFF7E3">
            <a:alpha val="28000"/>
          </a:srgb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zh-CN" altLang="en-US" sz="1100">
            <a:solidFill>
              <a:schemeClr val="bg1">
                <a:lumMod val="95000"/>
              </a:schemeClr>
            </a:solidFill>
          </a:endParaRPr>
        </a:p>
      </xdr:txBody>
    </xdr:sp>
    <xdr:clientData/>
  </xdr:twoCellAnchor>
  <xdr:twoCellAnchor>
    <xdr:from>
      <xdr:col>15</xdr:col>
      <xdr:colOff>111317</xdr:colOff>
      <xdr:row>2</xdr:row>
      <xdr:rowOff>57418</xdr:rowOff>
    </xdr:from>
    <xdr:to>
      <xdr:col>16</xdr:col>
      <xdr:colOff>305578</xdr:colOff>
      <xdr:row>2</xdr:row>
      <xdr:rowOff>527175</xdr:rowOff>
    </xdr:to>
    <xdr:pic>
      <xdr:nvPicPr>
        <xdr:cNvPr id="17" name="图形 16" descr="百事贴 纯色填充">
          <a:extLst>
            <a:ext uri="{FF2B5EF4-FFF2-40B4-BE49-F238E27FC236}">
              <a16:creationId xmlns:a16="http://schemas.microsoft.com/office/drawing/2014/main" id="{C3125C52-1BC6-2A89-7CF9-44263841FA84}"/>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14688095" y="847640"/>
          <a:ext cx="462372" cy="469757"/>
        </a:xfrm>
        <a:prstGeom prst="rect">
          <a:avLst/>
        </a:prstGeom>
      </xdr:spPr>
    </xdr:pic>
    <xdr:clientData/>
  </xdr:twoCellAnchor>
  <xdr:twoCellAnchor>
    <xdr:from>
      <xdr:col>16</xdr:col>
      <xdr:colOff>109038</xdr:colOff>
      <xdr:row>2</xdr:row>
      <xdr:rowOff>198515</xdr:rowOff>
    </xdr:from>
    <xdr:to>
      <xdr:col>17</xdr:col>
      <xdr:colOff>371345</xdr:colOff>
      <xdr:row>2</xdr:row>
      <xdr:rowOff>502510</xdr:rowOff>
    </xdr:to>
    <xdr:sp macro="" textlink="">
      <xdr:nvSpPr>
        <xdr:cNvPr id="62" name="文本框 61">
          <a:extLst>
            <a:ext uri="{FF2B5EF4-FFF2-40B4-BE49-F238E27FC236}">
              <a16:creationId xmlns:a16="http://schemas.microsoft.com/office/drawing/2014/main" id="{02BE72A2-278F-05C0-BC34-D994A3BFED03}"/>
            </a:ext>
          </a:extLst>
        </xdr:cNvPr>
        <xdr:cNvSpPr txBox="1"/>
      </xdr:nvSpPr>
      <xdr:spPr>
        <a:xfrm>
          <a:off x="14953927" y="988737"/>
          <a:ext cx="1348862" cy="3039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zh-CN" altLang="en-US" sz="1600">
              <a:solidFill>
                <a:srgbClr val="C17CFF"/>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特别事宜</a:t>
          </a:r>
          <a:endParaRPr lang="en-US" altLang="zh-CN" sz="1600">
            <a:solidFill>
              <a:srgbClr val="C17CFF"/>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endParaRPr>
        </a:p>
      </xdr:txBody>
    </xdr:sp>
    <xdr:clientData/>
  </xdr:twoCellAnchor>
  <xdr:twoCellAnchor>
    <xdr:from>
      <xdr:col>2</xdr:col>
      <xdr:colOff>316797</xdr:colOff>
      <xdr:row>2</xdr:row>
      <xdr:rowOff>178591</xdr:rowOff>
    </xdr:from>
    <xdr:to>
      <xdr:col>8</xdr:col>
      <xdr:colOff>289718</xdr:colOff>
      <xdr:row>10</xdr:row>
      <xdr:rowOff>95250</xdr:rowOff>
    </xdr:to>
    <xdr:graphicFrame macro="">
      <xdr:nvGraphicFramePr>
        <xdr:cNvPr id="14" name="图表 13">
          <a:extLst>
            <a:ext uri="{FF2B5EF4-FFF2-40B4-BE49-F238E27FC236}">
              <a16:creationId xmlns:a16="http://schemas.microsoft.com/office/drawing/2014/main" id="{70D293D3-3AEF-45F4-AC36-CC7463B113F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57407</xdr:colOff>
      <xdr:row>11</xdr:row>
      <xdr:rowOff>181246</xdr:rowOff>
    </xdr:from>
    <xdr:to>
      <xdr:col>14</xdr:col>
      <xdr:colOff>49768</xdr:colOff>
      <xdr:row>28</xdr:row>
      <xdr:rowOff>85725</xdr:rowOff>
    </xdr:to>
    <xdr:sp macro="" textlink="">
      <xdr:nvSpPr>
        <xdr:cNvPr id="19" name="矩形: 圆角 18">
          <a:extLst>
            <a:ext uri="{FF2B5EF4-FFF2-40B4-BE49-F238E27FC236}">
              <a16:creationId xmlns:a16="http://schemas.microsoft.com/office/drawing/2014/main" id="{7744107C-B8AE-4057-B960-712B666EB6BC}"/>
            </a:ext>
            <a:ext uri="{147F2762-F138-4A5C-976F-8EAC2B608ADB}">
              <a16:predDERef xmlns:a16="http://schemas.microsoft.com/office/drawing/2014/main" pred="{F0F113E0-B341-449C-84AD-BC831AFB21E0}"/>
            </a:ext>
          </a:extLst>
        </xdr:cNvPr>
        <xdr:cNvSpPr/>
      </xdr:nvSpPr>
      <xdr:spPr>
        <a:xfrm>
          <a:off x="1971932" y="5248546"/>
          <a:ext cx="11969096" cy="7286354"/>
        </a:xfrm>
        <a:prstGeom prst="roundRect">
          <a:avLst>
            <a:gd name="adj" fmla="val 2250"/>
          </a:avLst>
        </a:prstGeom>
        <a:solidFill>
          <a:srgbClr val="FFF7E3">
            <a:alpha val="28000"/>
          </a:srgb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altLang="zh-CN" sz="1100"/>
        </a:p>
      </xdr:txBody>
    </xdr:sp>
    <xdr:clientData/>
  </xdr:twoCellAnchor>
  <xdr:twoCellAnchor>
    <xdr:from>
      <xdr:col>1</xdr:col>
      <xdr:colOff>439</xdr:colOff>
      <xdr:row>12</xdr:row>
      <xdr:rowOff>21457</xdr:rowOff>
    </xdr:from>
    <xdr:to>
      <xdr:col>2</xdr:col>
      <xdr:colOff>2197</xdr:colOff>
      <xdr:row>28</xdr:row>
      <xdr:rowOff>57150</xdr:rowOff>
    </xdr:to>
    <xdr:sp macro="" textlink="">
      <xdr:nvSpPr>
        <xdr:cNvPr id="2" name="矩形: 圆角 1">
          <a:extLst>
            <a:ext uri="{FF2B5EF4-FFF2-40B4-BE49-F238E27FC236}">
              <a16:creationId xmlns:a16="http://schemas.microsoft.com/office/drawing/2014/main" id="{BDC6A50A-550D-497C-B801-AA1D68267CEB}"/>
            </a:ext>
          </a:extLst>
        </xdr:cNvPr>
        <xdr:cNvSpPr/>
      </xdr:nvSpPr>
      <xdr:spPr>
        <a:xfrm>
          <a:off x="160459" y="5256397"/>
          <a:ext cx="1327638" cy="7228973"/>
        </a:xfrm>
        <a:prstGeom prst="roundRect">
          <a:avLst>
            <a:gd name="adj" fmla="val 7941"/>
          </a:avLst>
        </a:prstGeom>
        <a:gradFill flip="none" rotWithShape="1">
          <a:gsLst>
            <a:gs pos="100000">
              <a:srgbClr val="8164CF">
                <a:alpha val="65000"/>
              </a:srgbClr>
            </a:gs>
            <a:gs pos="0">
              <a:srgbClr val="FB7187"/>
            </a:gs>
          </a:gsLst>
          <a:lin ang="5400000" scaled="1"/>
          <a:tileRect/>
        </a:gra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zh-CN" altLang="en-US" sz="1100" u="none"/>
        </a:p>
      </xdr:txBody>
    </xdr:sp>
    <xdr:clientData/>
  </xdr:twoCellAnchor>
  <xdr:twoCellAnchor>
    <xdr:from>
      <xdr:col>1</xdr:col>
      <xdr:colOff>169100</xdr:colOff>
      <xdr:row>12</xdr:row>
      <xdr:rowOff>5587</xdr:rowOff>
    </xdr:from>
    <xdr:to>
      <xdr:col>1</xdr:col>
      <xdr:colOff>1159416</xdr:colOff>
      <xdr:row>13</xdr:row>
      <xdr:rowOff>48116</xdr:rowOff>
    </xdr:to>
    <xdr:sp macro="" textlink="">
      <xdr:nvSpPr>
        <xdr:cNvPr id="5" name="文本框 4">
          <a:extLst>
            <a:ext uri="{FF2B5EF4-FFF2-40B4-BE49-F238E27FC236}">
              <a16:creationId xmlns:a16="http://schemas.microsoft.com/office/drawing/2014/main" id="{9F92FC4B-0576-430E-82C3-1C24132AD9DC}"/>
            </a:ext>
          </a:extLst>
        </xdr:cNvPr>
        <xdr:cNvSpPr txBox="1"/>
      </xdr:nvSpPr>
      <xdr:spPr>
        <a:xfrm>
          <a:off x="329120" y="5240527"/>
          <a:ext cx="990316" cy="492109"/>
        </a:xfrm>
        <a:prstGeom prst="rect">
          <a:avLst/>
        </a:prstGeom>
        <a:noFill/>
        <a:ln w="9525" cmpd="sng">
          <a:noFill/>
        </a:ln>
        <a:effectLst>
          <a:outerShdw blurRad="50800" dist="38100" dir="5400000" algn="t"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zh-CN" altLang="en-US" sz="1400">
              <a:solidFill>
                <a:schemeClr val="bg1"/>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相关记录</a:t>
          </a:r>
          <a:endParaRPr lang="en-US" altLang="zh-CN" sz="1400">
            <a:solidFill>
              <a:schemeClr val="bg1"/>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endParaRPr>
        </a:p>
      </xdr:txBody>
    </xdr:sp>
    <xdr:clientData/>
  </xdr:twoCellAnchor>
  <xdr:twoCellAnchor>
    <xdr:from>
      <xdr:col>1</xdr:col>
      <xdr:colOff>74968</xdr:colOff>
      <xdr:row>22</xdr:row>
      <xdr:rowOff>16752</xdr:rowOff>
    </xdr:from>
    <xdr:to>
      <xdr:col>1</xdr:col>
      <xdr:colOff>1253548</xdr:colOff>
      <xdr:row>22</xdr:row>
      <xdr:rowOff>382774</xdr:rowOff>
    </xdr:to>
    <xdr:sp macro="" textlink="$R$2">
      <xdr:nvSpPr>
        <xdr:cNvPr id="16" name="文本框 17">
          <a:extLst>
            <a:ext uri="{FF2B5EF4-FFF2-40B4-BE49-F238E27FC236}">
              <a16:creationId xmlns:a16="http://schemas.microsoft.com/office/drawing/2014/main" id="{F0F113E0-B341-449C-84AD-BC831AFB21E0}"/>
            </a:ext>
          </a:extLst>
        </xdr:cNvPr>
        <xdr:cNvSpPr txBox="1"/>
      </xdr:nvSpPr>
      <xdr:spPr>
        <a:xfrm>
          <a:off x="234988" y="9747492"/>
          <a:ext cx="1178580" cy="366022"/>
        </a:xfrm>
        <a:prstGeom prst="rect">
          <a:avLst/>
        </a:prstGeom>
        <a:noFill/>
        <a:ln w="9525" cmpd="sng">
          <a:noFill/>
        </a:ln>
        <a:effectLst>
          <a:outerShdw blurRad="50800" dist="38100" dir="5400000" algn="t"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zh-CN" altLang="en-US" sz="1400" b="1" i="0" u="none" strike="noStrike">
              <a:solidFill>
                <a:schemeClr val="bg1"/>
              </a:solidFill>
              <a:latin typeface="阿里巴巴普惠体 2.0 55 Regular"/>
              <a:ea typeface="阿里巴巴普惠体 2.0 55 Regular"/>
              <a:cs typeface="阿里巴巴普惠体 2.0 55 Regular"/>
            </a:rPr>
            <a:t>年度建议</a:t>
          </a:r>
          <a:fld id="{5C629F76-0B5F-48F0-8A7D-569B203F1E11}" type="TxLink">
            <a:rPr lang="zh-CN" altLang="en-US" sz="1400" b="1" i="0" u="none" strike="noStrike">
              <a:solidFill>
                <a:schemeClr val="bg1"/>
              </a:solidFill>
              <a:latin typeface="阿里巴巴普惠体 2.0 55 Regular"/>
              <a:ea typeface="阿里巴巴普惠体 2.0 55 Regular"/>
              <a:cs typeface="阿里巴巴普惠体 2.0 55 Regular"/>
            </a:rPr>
            <a:pPr algn="ctr"/>
            <a:t> </a:t>
          </a:fld>
          <a:endParaRPr lang="zh-CN" altLang="en-US" sz="1400" b="1" u="none">
            <a:solidFill>
              <a:schemeClr val="bg1"/>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endParaRPr>
        </a:p>
      </xdr:txBody>
    </xdr:sp>
    <xdr:clientData/>
  </xdr:twoCellAnchor>
  <xdr:twoCellAnchor>
    <xdr:from>
      <xdr:col>1</xdr:col>
      <xdr:colOff>114067</xdr:colOff>
      <xdr:row>17</xdr:row>
      <xdr:rowOff>273747</xdr:rowOff>
    </xdr:from>
    <xdr:to>
      <xdr:col>1</xdr:col>
      <xdr:colOff>1214449</xdr:colOff>
      <xdr:row>22</xdr:row>
      <xdr:rowOff>35797</xdr:rowOff>
    </xdr:to>
    <xdr:sp macro="" textlink="$AA$1">
      <xdr:nvSpPr>
        <xdr:cNvPr id="9" name="文本框 26">
          <a:extLst>
            <a:ext uri="{FF2B5EF4-FFF2-40B4-BE49-F238E27FC236}">
              <a16:creationId xmlns:a16="http://schemas.microsoft.com/office/drawing/2014/main" id="{CC98A094-C34E-978E-75F6-319BFA38221E}"/>
            </a:ext>
          </a:extLst>
        </xdr:cNvPr>
        <xdr:cNvSpPr txBox="1"/>
      </xdr:nvSpPr>
      <xdr:spPr>
        <a:xfrm>
          <a:off x="274087" y="7756587"/>
          <a:ext cx="1100382" cy="2009950"/>
        </a:xfrm>
        <a:prstGeom prst="roundRect">
          <a:avLst>
            <a:gd name="adj" fmla="val 7380"/>
          </a:avLst>
        </a:prstGeom>
        <a:noFill/>
        <a:ln w="9525" cmpd="sng">
          <a:solidFill>
            <a:schemeClr val="bg1">
              <a:lumMod val="8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3200" rIns="43200" rtlCol="0" anchor="t"/>
        <a:lstStyle/>
        <a:p>
          <a:pPr algn="l"/>
          <a:fld id="{CDBC07D4-9675-4B42-9013-9C55543EBE99}" type="TxLink">
            <a:rPr lang="zh-CN" altLang="en-US" sz="1200" b="1" i="0" u="none" strike="noStrike">
              <a:solidFill>
                <a:schemeClr val="bg1"/>
              </a:solidFill>
              <a:latin typeface="阿里巴巴普惠体 2.0 55 Regular"/>
              <a:ea typeface="阿里巴巴普惠体 2.0 55 Regular"/>
              <a:cs typeface="阿里巴巴普惠体 2.0 55 Regular"/>
            </a:rPr>
            <a:pPr algn="l"/>
            <a:t>聚贤庄上外皮组织损伤</a:t>
          </a:fld>
          <a:endParaRPr lang="zh-CN" altLang="en-US" sz="1200" b="1">
            <a:solidFill>
              <a:schemeClr val="bg1"/>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endParaRPr>
        </a:p>
      </xdr:txBody>
    </xdr:sp>
    <xdr:clientData/>
  </xdr:twoCellAnchor>
  <xdr:twoCellAnchor>
    <xdr:from>
      <xdr:col>1</xdr:col>
      <xdr:colOff>114067</xdr:colOff>
      <xdr:row>12</xdr:row>
      <xdr:rowOff>394863</xdr:rowOff>
    </xdr:from>
    <xdr:to>
      <xdr:col>1</xdr:col>
      <xdr:colOff>1214449</xdr:colOff>
      <xdr:row>17</xdr:row>
      <xdr:rowOff>156914</xdr:rowOff>
    </xdr:to>
    <xdr:sp macro="" textlink="$AA$2">
      <xdr:nvSpPr>
        <xdr:cNvPr id="10" name="文本框 26">
          <a:extLst>
            <a:ext uri="{FF2B5EF4-FFF2-40B4-BE49-F238E27FC236}">
              <a16:creationId xmlns:a16="http://schemas.microsoft.com/office/drawing/2014/main" id="{9B829B60-554D-D4AD-5585-6DCD249FD33F}"/>
            </a:ext>
          </a:extLst>
        </xdr:cNvPr>
        <xdr:cNvSpPr txBox="1"/>
      </xdr:nvSpPr>
      <xdr:spPr>
        <a:xfrm>
          <a:off x="274087" y="5629803"/>
          <a:ext cx="1100382" cy="2009951"/>
        </a:xfrm>
        <a:prstGeom prst="roundRect">
          <a:avLst>
            <a:gd name="adj" fmla="val 5832"/>
          </a:avLst>
        </a:prstGeom>
        <a:noFill/>
        <a:ln w="9525" cmpd="sng">
          <a:solidFill>
            <a:schemeClr val="bg1">
              <a:lumMod val="8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3200" rIns="43200" rtlCol="0" anchor="t"/>
        <a:lstStyle/>
        <a:p>
          <a:pPr marL="0" indent="0" algn="l"/>
          <a:fld id="{ED40B714-18FC-434C-BD44-8563B5345106}" type="TxLink">
            <a:rPr lang="zh-CN" altLang="en-US" sz="1200" b="1" i="0" u="none" strike="noStrike">
              <a:solidFill>
                <a:schemeClr val="bg1"/>
              </a:solidFill>
              <a:latin typeface="阿里巴巴普惠体 2.0 55 Regular"/>
              <a:ea typeface="阿里巴巴普惠体 2.0 55 Regular"/>
              <a:cs typeface="阿里巴巴普惠体 2.0 55 Regular"/>
            </a:rPr>
            <a:pPr marL="0" indent="0" algn="l"/>
            <a:t>2023住院报销5万</a:t>
          </a:fld>
          <a:endParaRPr lang="zh-CN" altLang="en-US" sz="1200" b="1" i="0" u="none" strike="noStrike">
            <a:solidFill>
              <a:schemeClr val="bg1"/>
            </a:solidFill>
            <a:latin typeface="阿里巴巴普惠体 2.0 55 Regular"/>
            <a:ea typeface="阿里巴巴普惠体 2.0 55 Regular"/>
            <a:cs typeface="阿里巴巴普惠体 2.0 55 Regular"/>
          </a:endParaRPr>
        </a:p>
      </xdr:txBody>
    </xdr:sp>
    <xdr:clientData/>
  </xdr:twoCellAnchor>
  <xdr:twoCellAnchor>
    <xdr:from>
      <xdr:col>1</xdr:col>
      <xdr:colOff>115382</xdr:colOff>
      <xdr:row>22</xdr:row>
      <xdr:rowOff>356121</xdr:rowOff>
    </xdr:from>
    <xdr:to>
      <xdr:col>1</xdr:col>
      <xdr:colOff>1213134</xdr:colOff>
      <xdr:row>27</xdr:row>
      <xdr:rowOff>419100</xdr:rowOff>
    </xdr:to>
    <xdr:sp macro="" textlink="$B$32">
      <xdr:nvSpPr>
        <xdr:cNvPr id="467" name="文本框 26">
          <a:extLst>
            <a:ext uri="{FF2B5EF4-FFF2-40B4-BE49-F238E27FC236}">
              <a16:creationId xmlns:a16="http://schemas.microsoft.com/office/drawing/2014/main" id="{9F66CC2C-0429-CF11-9A91-A3863CE06A5B}"/>
            </a:ext>
          </a:extLst>
        </xdr:cNvPr>
        <xdr:cNvSpPr txBox="1"/>
      </xdr:nvSpPr>
      <xdr:spPr>
        <a:xfrm>
          <a:off x="275402" y="10086861"/>
          <a:ext cx="1097752" cy="2310879"/>
        </a:xfrm>
        <a:prstGeom prst="roundRect">
          <a:avLst>
            <a:gd name="adj" fmla="val 4772"/>
          </a:avLst>
        </a:prstGeom>
        <a:noFill/>
        <a:ln w="9525" cmpd="sng">
          <a:solidFill>
            <a:schemeClr val="bg1">
              <a:lumMod val="8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3200" rIns="43200" rtlCol="0" anchor="t"/>
        <a:lstStyle/>
        <a:p>
          <a:pPr marL="0" indent="0" algn="l"/>
          <a:fld id="{9E76B7E7-7DDA-48A2-9395-BF5480A5102D}" type="TxLink">
            <a:rPr lang="zh-CN" altLang="en-US" sz="1200" b="1" i="0" u="none" strike="noStrike">
              <a:solidFill>
                <a:schemeClr val="bg1"/>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rPr>
            <a:pPr marL="0" indent="0" algn="l"/>
            <a:t> </a:t>
          </a:fld>
          <a:endParaRPr lang="zh-CN" altLang="en-US" sz="1400" b="1" i="0" u="none" strike="noStrike">
            <a:solidFill>
              <a:schemeClr val="bg1"/>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endParaRPr>
        </a:p>
      </xdr:txBody>
    </xdr:sp>
    <xdr:clientData/>
  </xdr:twoCellAnchor>
  <xdr:twoCellAnchor>
    <xdr:from>
      <xdr:col>1</xdr:col>
      <xdr:colOff>54881</xdr:colOff>
      <xdr:row>10</xdr:row>
      <xdr:rowOff>173180</xdr:rowOff>
    </xdr:from>
    <xdr:to>
      <xdr:col>1</xdr:col>
      <xdr:colOff>626921</xdr:colOff>
      <xdr:row>12</xdr:row>
      <xdr:rowOff>370143</xdr:rowOff>
    </xdr:to>
    <xdr:pic>
      <xdr:nvPicPr>
        <xdr:cNvPr id="13" name="图片 12">
          <a:extLst>
            <a:ext uri="{FF2B5EF4-FFF2-40B4-BE49-F238E27FC236}">
              <a16:creationId xmlns:a16="http://schemas.microsoft.com/office/drawing/2014/main" id="{57812E34-E554-27CF-6725-A354169C41CD}"/>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32681" y="5018230"/>
          <a:ext cx="572040" cy="603363"/>
        </a:xfrm>
        <a:prstGeom prst="rect">
          <a:avLst/>
        </a:prstGeom>
      </xdr:spPr>
    </xdr:pic>
    <xdr:clientData/>
  </xdr:twoCellAnchor>
  <xdr:twoCellAnchor>
    <xdr:from>
      <xdr:col>1</xdr:col>
      <xdr:colOff>3793</xdr:colOff>
      <xdr:row>5</xdr:row>
      <xdr:rowOff>374573</xdr:rowOff>
    </xdr:from>
    <xdr:to>
      <xdr:col>1</xdr:col>
      <xdr:colOff>1324624</xdr:colOff>
      <xdr:row>10</xdr:row>
      <xdr:rowOff>105831</xdr:rowOff>
    </xdr:to>
    <xdr:sp macro="" textlink="">
      <xdr:nvSpPr>
        <xdr:cNvPr id="49" name="矩形: 圆角 48">
          <a:extLst>
            <a:ext uri="{FF2B5EF4-FFF2-40B4-BE49-F238E27FC236}">
              <a16:creationId xmlns:a16="http://schemas.microsoft.com/office/drawing/2014/main" id="{5E2513A3-ADCF-4842-9661-B2AAEAE663D8}"/>
            </a:ext>
          </a:extLst>
        </xdr:cNvPr>
        <xdr:cNvSpPr/>
      </xdr:nvSpPr>
      <xdr:spPr>
        <a:xfrm>
          <a:off x="64753" y="2378633"/>
          <a:ext cx="1320831" cy="2550658"/>
        </a:xfrm>
        <a:prstGeom prst="roundRect">
          <a:avLst>
            <a:gd name="adj" fmla="val 7654"/>
          </a:avLst>
        </a:prstGeom>
        <a:gradFill flip="none" rotWithShape="1">
          <a:gsLst>
            <a:gs pos="100000">
              <a:srgbClr val="2EABB8"/>
            </a:gs>
            <a:gs pos="0">
              <a:srgbClr val="02AE8D"/>
            </a:gs>
          </a:gsLst>
          <a:lin ang="18900000" scaled="1"/>
          <a:tileRect/>
        </a:gradFill>
        <a:ln>
          <a:noFill/>
        </a:ln>
        <a:effectLst>
          <a:outerShdw blurRad="50800" dist="38100" dir="5400000" algn="t" rotWithShape="0">
            <a:prstClr val="black">
              <a:alpha val="15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zh-CN" altLang="en-US" sz="1100" u="none">
            <a:solidFill>
              <a:schemeClr val="bg1"/>
            </a:solidFill>
          </a:endParaRPr>
        </a:p>
      </xdr:txBody>
    </xdr:sp>
    <xdr:clientData/>
  </xdr:twoCellAnchor>
  <xdr:twoCellAnchor>
    <xdr:from>
      <xdr:col>1</xdr:col>
      <xdr:colOff>54670</xdr:colOff>
      <xdr:row>6</xdr:row>
      <xdr:rowOff>332359</xdr:rowOff>
    </xdr:from>
    <xdr:to>
      <xdr:col>1</xdr:col>
      <xdr:colOff>1273746</xdr:colOff>
      <xdr:row>7</xdr:row>
      <xdr:rowOff>159664</xdr:rowOff>
    </xdr:to>
    <xdr:sp macro="" textlink="$AB$2">
      <xdr:nvSpPr>
        <xdr:cNvPr id="15" name="文本框 18">
          <a:extLst>
            <a:ext uri="{FF2B5EF4-FFF2-40B4-BE49-F238E27FC236}">
              <a16:creationId xmlns:a16="http://schemas.microsoft.com/office/drawing/2014/main" id="{CB210918-2A5F-4188-B05A-4D25FC06F343}"/>
            </a:ext>
          </a:extLst>
        </xdr:cNvPr>
        <xdr:cNvSpPr txBox="1"/>
      </xdr:nvSpPr>
      <xdr:spPr>
        <a:xfrm>
          <a:off x="115630" y="2839339"/>
          <a:ext cx="1219076" cy="330225"/>
        </a:xfrm>
        <a:prstGeom prst="roundRect">
          <a:avLst/>
        </a:prstGeom>
        <a:noFill/>
        <a:ln w="6350" cmpd="sng">
          <a:solidFill>
            <a:schemeClr val="bg1"/>
          </a:solidFill>
        </a:ln>
        <a:effectLst>
          <a:outerShdw blurRad="50800" dist="25400" dir="5400000" algn="t"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206F50A9-1192-416A-A92B-CA7D44B73FDA}" type="TxLink">
            <a:rPr lang="zh-CN" altLang="en-US" sz="1400" b="0" i="0" u="none" strike="noStrike">
              <a:solidFill>
                <a:schemeClr val="bg1"/>
              </a:solidFill>
              <a:latin typeface="阿里巴巴普惠体 2.0 65 Medium"/>
              <a:ea typeface="阿里巴巴普惠体 2.0 65 Medium"/>
              <a:cs typeface="阿里巴巴普惠体 2.0 65 Medium"/>
            </a:rPr>
            <a:pPr marL="0" indent="0" algn="ctr"/>
            <a:t>男</a:t>
          </a:fld>
          <a:endParaRPr lang="zh-CN" altLang="en-US" sz="1600" b="1" i="0" u="none" strike="noStrike">
            <a:solidFill>
              <a:schemeClr val="bg1"/>
            </a:solidFill>
            <a:latin typeface="阿里巴巴普惠体 2.0 55 Regular"/>
            <a:ea typeface="阿里巴巴普惠体 2.0 55 Regular"/>
            <a:cs typeface="阿里巴巴普惠体 2.0 55 Regular"/>
          </a:endParaRPr>
        </a:p>
      </xdr:txBody>
    </xdr:sp>
    <xdr:clientData/>
  </xdr:twoCellAnchor>
  <xdr:twoCellAnchor>
    <xdr:from>
      <xdr:col>1</xdr:col>
      <xdr:colOff>54670</xdr:colOff>
      <xdr:row>7</xdr:row>
      <xdr:rowOff>358092</xdr:rowOff>
    </xdr:from>
    <xdr:to>
      <xdr:col>1</xdr:col>
      <xdr:colOff>1273746</xdr:colOff>
      <xdr:row>8</xdr:row>
      <xdr:rowOff>185397</xdr:rowOff>
    </xdr:to>
    <xdr:sp macro="" textlink="$AB$3">
      <xdr:nvSpPr>
        <xdr:cNvPr id="20" name="文本框 18">
          <a:extLst>
            <a:ext uri="{FF2B5EF4-FFF2-40B4-BE49-F238E27FC236}">
              <a16:creationId xmlns:a16="http://schemas.microsoft.com/office/drawing/2014/main" id="{202BA8B1-478E-DD83-63E8-60FDD69E3800}"/>
            </a:ext>
          </a:extLst>
        </xdr:cNvPr>
        <xdr:cNvSpPr txBox="1"/>
      </xdr:nvSpPr>
      <xdr:spPr>
        <a:xfrm>
          <a:off x="115630" y="3367992"/>
          <a:ext cx="1219076" cy="330225"/>
        </a:xfrm>
        <a:prstGeom prst="roundRect">
          <a:avLst/>
        </a:prstGeom>
        <a:noFill/>
        <a:ln w="6350" cmpd="sng">
          <a:solidFill>
            <a:schemeClr val="bg1"/>
          </a:solidFill>
        </a:ln>
        <a:effectLst>
          <a:outerShdw blurRad="50800" dist="25400" dir="5400000" algn="t"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85C35626-8C1F-4602-980D-2DB5ED4A921A}" type="TxLink">
            <a:rPr lang="en-US" altLang="en-US" sz="1400" b="0" i="0" u="none" strike="noStrike">
              <a:solidFill>
                <a:schemeClr val="bg1"/>
              </a:solidFill>
              <a:latin typeface="阿里巴巴普惠体 2.0 65 Medium"/>
              <a:ea typeface="阿里巴巴普惠体 2.0 65 Medium"/>
              <a:cs typeface="阿里巴巴普惠体 2.0 65 Medium"/>
            </a:rPr>
            <a:pPr marL="0" indent="0" algn="ctr"/>
            <a:t>35岁</a:t>
          </a:fld>
          <a:endParaRPr lang="zh-CN" altLang="en-US" sz="1600" b="1" i="0" u="none" strike="noStrike">
            <a:solidFill>
              <a:schemeClr val="bg1"/>
            </a:solidFill>
            <a:latin typeface="阿里巴巴普惠体 2.0 55 Regular"/>
            <a:ea typeface="阿里巴巴普惠体 2.0 55 Regular"/>
            <a:cs typeface="阿里巴巴普惠体 2.0 55 Regular"/>
          </a:endParaRPr>
        </a:p>
      </xdr:txBody>
    </xdr:sp>
    <xdr:clientData/>
  </xdr:twoCellAnchor>
  <xdr:twoCellAnchor>
    <xdr:from>
      <xdr:col>1</xdr:col>
      <xdr:colOff>54670</xdr:colOff>
      <xdr:row>8</xdr:row>
      <xdr:rowOff>383824</xdr:rowOff>
    </xdr:from>
    <xdr:to>
      <xdr:col>1</xdr:col>
      <xdr:colOff>1273746</xdr:colOff>
      <xdr:row>9</xdr:row>
      <xdr:rowOff>211129</xdr:rowOff>
    </xdr:to>
    <xdr:sp macro="" textlink="$AB$4">
      <xdr:nvSpPr>
        <xdr:cNvPr id="21" name="文本框 18">
          <a:extLst>
            <a:ext uri="{FF2B5EF4-FFF2-40B4-BE49-F238E27FC236}">
              <a16:creationId xmlns:a16="http://schemas.microsoft.com/office/drawing/2014/main" id="{BE75D102-88D4-F3F3-F51A-513909220CD2}"/>
            </a:ext>
          </a:extLst>
        </xdr:cNvPr>
        <xdr:cNvSpPr txBox="1"/>
      </xdr:nvSpPr>
      <xdr:spPr>
        <a:xfrm>
          <a:off x="115630" y="3896644"/>
          <a:ext cx="1219076" cy="330225"/>
        </a:xfrm>
        <a:prstGeom prst="roundRect">
          <a:avLst/>
        </a:prstGeom>
        <a:noFill/>
        <a:ln w="6350" cmpd="sng">
          <a:solidFill>
            <a:schemeClr val="bg1"/>
          </a:solidFill>
        </a:ln>
        <a:effectLst>
          <a:outerShdw blurRad="50800" dist="25400" dir="5400000" algn="t"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lIns="43200" rIns="43200" rtlCol="0" anchor="ctr"/>
        <a:lstStyle/>
        <a:p>
          <a:pPr marL="0" indent="0" algn="ctr"/>
          <a:fld id="{D8F31E6E-4705-4DE7-BEFE-790388623BF8}" type="TxLink">
            <a:rPr lang="en-US" altLang="en-US" sz="1200" b="0" i="0" u="none" strike="noStrike">
              <a:solidFill>
                <a:schemeClr val="bg1"/>
              </a:solidFill>
              <a:latin typeface="阿里巴巴普惠体 2.0 65 Medium"/>
              <a:ea typeface="阿里巴巴普惠体 2.0 65 Medium"/>
              <a:cs typeface="阿里巴巴普惠体 2.0 65 Medium"/>
            </a:rPr>
            <a:pPr marL="0" indent="0" algn="ctr"/>
            <a:t>13001666666</a:t>
          </a:fld>
          <a:endParaRPr lang="zh-CN" altLang="en-US" sz="1400" b="1" i="0" u="none" strike="noStrike">
            <a:solidFill>
              <a:schemeClr val="bg1"/>
            </a:solidFill>
            <a:latin typeface="阿里巴巴普惠体 2.0 55 Regular"/>
            <a:ea typeface="阿里巴巴普惠体 2.0 55 Regular"/>
            <a:cs typeface="阿里巴巴普惠体 2.0 55 Regular"/>
          </a:endParaRPr>
        </a:p>
      </xdr:txBody>
    </xdr:sp>
    <xdr:clientData/>
  </xdr:twoCellAnchor>
  <xdr:twoCellAnchor>
    <xdr:from>
      <xdr:col>1</xdr:col>
      <xdr:colOff>54670</xdr:colOff>
      <xdr:row>9</xdr:row>
      <xdr:rowOff>409556</xdr:rowOff>
    </xdr:from>
    <xdr:to>
      <xdr:col>1</xdr:col>
      <xdr:colOff>1273746</xdr:colOff>
      <xdr:row>9</xdr:row>
      <xdr:rowOff>744861</xdr:rowOff>
    </xdr:to>
    <xdr:sp macro="" textlink="$AB$5">
      <xdr:nvSpPr>
        <xdr:cNvPr id="22" name="文本框 18">
          <a:extLst>
            <a:ext uri="{FF2B5EF4-FFF2-40B4-BE49-F238E27FC236}">
              <a16:creationId xmlns:a16="http://schemas.microsoft.com/office/drawing/2014/main" id="{30F0581C-DD2C-ED82-2056-C6BC77EC7033}"/>
            </a:ext>
          </a:extLst>
        </xdr:cNvPr>
        <xdr:cNvSpPr txBox="1"/>
      </xdr:nvSpPr>
      <xdr:spPr>
        <a:xfrm>
          <a:off x="115630" y="4425296"/>
          <a:ext cx="1219076" cy="335305"/>
        </a:xfrm>
        <a:prstGeom prst="roundRect">
          <a:avLst/>
        </a:prstGeom>
        <a:noFill/>
        <a:ln w="6350" cmpd="sng">
          <a:solidFill>
            <a:schemeClr val="bg1"/>
          </a:solidFill>
        </a:ln>
        <a:effectLst>
          <a:outerShdw blurRad="50800" dist="25400" dir="5400000" algn="t"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lIns="43200" rIns="43200" rtlCol="0" anchor="ctr"/>
        <a:lstStyle/>
        <a:p>
          <a:pPr marL="0" indent="0" algn="ctr"/>
          <a:fld id="{E95C06EA-90E4-465D-B2E0-506CF512AFE5}" type="TxLink">
            <a:rPr lang="zh-CN" altLang="en-US" sz="1000" b="0" i="0" u="none" strike="noStrike">
              <a:solidFill>
                <a:schemeClr val="bg1"/>
              </a:solidFill>
              <a:latin typeface="阿里巴巴普惠体 2.0 65 Medium"/>
              <a:ea typeface="阿里巴巴普惠体 2.0 65 Medium"/>
              <a:cs typeface="阿里巴巴普惠体 2.0 65 Medium"/>
            </a:rPr>
            <a:pPr marL="0" indent="0" algn="ctr"/>
            <a:t>保单相守壹拾伍载</a:t>
          </a:fld>
          <a:endParaRPr lang="zh-CN" altLang="en-US" sz="1050" b="1" i="0" u="none" strike="noStrike">
            <a:solidFill>
              <a:schemeClr val="bg1"/>
            </a:solidFill>
            <a:latin typeface="阿里巴巴普惠体 2.0 55 Regular"/>
            <a:ea typeface="阿里巴巴普惠体 2.0 55 Regular"/>
            <a:cs typeface="阿里巴巴普惠体 2.0 55 Regular"/>
          </a:endParaRPr>
        </a:p>
      </xdr:txBody>
    </xdr:sp>
    <xdr:clientData/>
  </xdr:twoCellAnchor>
  <xdr:twoCellAnchor>
    <xdr:from>
      <xdr:col>1</xdr:col>
      <xdr:colOff>193144</xdr:colOff>
      <xdr:row>5</xdr:row>
      <xdr:rowOff>100541</xdr:rowOff>
    </xdr:from>
    <xdr:to>
      <xdr:col>1</xdr:col>
      <xdr:colOff>1147763</xdr:colOff>
      <xdr:row>6</xdr:row>
      <xdr:rowOff>252473</xdr:rowOff>
    </xdr:to>
    <xdr:pic>
      <xdr:nvPicPr>
        <xdr:cNvPr id="25" name="图片 24" descr="图形用户界面, 应用程序&#10;&#10;描述已自动生成">
          <a:extLst>
            <a:ext uri="{FF2B5EF4-FFF2-40B4-BE49-F238E27FC236}">
              <a16:creationId xmlns:a16="http://schemas.microsoft.com/office/drawing/2014/main" id="{01B06E0C-B4BA-DA59-ABCC-EC5C1230308C}"/>
            </a:ext>
          </a:extLst>
        </xdr:cNvPr>
        <xdr:cNvPicPr>
          <a:picLocks noChangeAspect="1"/>
        </xdr:cNvPicPr>
      </xdr:nvPicPr>
      <xdr:blipFill rotWithShape="1">
        <a:blip xmlns:r="http://schemas.openxmlformats.org/officeDocument/2006/relationships" r:embed="rId6" cstate="email">
          <a:extLst>
            <a:ext uri="{28A0092B-C50C-407E-A947-70E740481C1C}">
              <a14:useLocalDpi xmlns:a14="http://schemas.microsoft.com/office/drawing/2010/main"/>
            </a:ext>
          </a:extLst>
        </a:blip>
        <a:srcRect/>
        <a:stretch/>
      </xdr:blipFill>
      <xdr:spPr>
        <a:xfrm>
          <a:off x="370944" y="2107141"/>
          <a:ext cx="954619" cy="659932"/>
        </a:xfrm>
        <a:prstGeom prst="rect">
          <a:avLst/>
        </a:prstGeom>
      </xdr:spPr>
    </xdr:pic>
    <xdr:clientData/>
  </xdr:twoCellAnchor>
  <xdr:twoCellAnchor>
    <xdr:from>
      <xdr:col>0</xdr:col>
      <xdr:colOff>158750</xdr:colOff>
      <xdr:row>2</xdr:row>
      <xdr:rowOff>179916</xdr:rowOff>
    </xdr:from>
    <xdr:to>
      <xdr:col>2</xdr:col>
      <xdr:colOff>16812</xdr:colOff>
      <xdr:row>3</xdr:row>
      <xdr:rowOff>62436</xdr:rowOff>
    </xdr:to>
    <xdr:pic>
      <xdr:nvPicPr>
        <xdr:cNvPr id="27" name="图片 26" descr="文本&#10;&#10;描述已自动生成">
          <a:extLst>
            <a:ext uri="{FF2B5EF4-FFF2-40B4-BE49-F238E27FC236}">
              <a16:creationId xmlns:a16="http://schemas.microsoft.com/office/drawing/2014/main" id="{48CF1FC5-BFFD-ABE7-5489-6967F629E9AC}"/>
            </a:ext>
          </a:extLst>
        </xdr:cNvPr>
        <xdr:cNvPicPr>
          <a:picLocks noChangeAspect="1"/>
        </xdr:cNvPicPr>
      </xdr:nvPicPr>
      <xdr:blipFill>
        <a:blip xmlns:r="http://schemas.openxmlformats.org/officeDocument/2006/relationships" r:embed="rId7"/>
        <a:stretch>
          <a:fillRect/>
        </a:stretch>
      </xdr:blipFill>
      <xdr:spPr>
        <a:xfrm>
          <a:off x="158750" y="984249"/>
          <a:ext cx="1530229" cy="432854"/>
        </a:xfrm>
        <a:prstGeom prst="rect">
          <a:avLst/>
        </a:prstGeom>
      </xdr:spPr>
    </xdr:pic>
    <xdr:clientData/>
  </xdr:twoCellAnchor>
  <xdr:twoCellAnchor>
    <xdr:from>
      <xdr:col>14</xdr:col>
      <xdr:colOff>244629</xdr:colOff>
      <xdr:row>12</xdr:row>
      <xdr:rowOff>333</xdr:rowOff>
    </xdr:from>
    <xdr:to>
      <xdr:col>17</xdr:col>
      <xdr:colOff>639216</xdr:colOff>
      <xdr:row>28</xdr:row>
      <xdr:rowOff>63500</xdr:rowOff>
    </xdr:to>
    <xdr:sp macro="" textlink="">
      <xdr:nvSpPr>
        <xdr:cNvPr id="6" name="矩形: 圆角 5">
          <a:extLst>
            <a:ext uri="{FF2B5EF4-FFF2-40B4-BE49-F238E27FC236}">
              <a16:creationId xmlns:a16="http://schemas.microsoft.com/office/drawing/2014/main" id="{6143BE89-56D0-9175-17AD-2CDB246352BA}"/>
            </a:ext>
          </a:extLst>
        </xdr:cNvPr>
        <xdr:cNvSpPr/>
      </xdr:nvSpPr>
      <xdr:spPr>
        <a:xfrm>
          <a:off x="12848109" y="5235273"/>
          <a:ext cx="2101467" cy="7256447"/>
        </a:xfrm>
        <a:prstGeom prst="roundRect">
          <a:avLst>
            <a:gd name="adj" fmla="val 5693"/>
          </a:avLst>
        </a:prstGeom>
        <a:solidFill>
          <a:srgbClr val="FFF7E3">
            <a:alpha val="28000"/>
          </a:srgb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zh-CN" altLang="en-US" sz="1100"/>
        </a:p>
      </xdr:txBody>
    </xdr:sp>
    <xdr:clientData/>
  </xdr:twoCellAnchor>
  <xdr:twoCellAnchor>
    <xdr:from>
      <xdr:col>14</xdr:col>
      <xdr:colOff>316085</xdr:colOff>
      <xdr:row>15</xdr:row>
      <xdr:rowOff>345610</xdr:rowOff>
    </xdr:from>
    <xdr:to>
      <xdr:col>17</xdr:col>
      <xdr:colOff>567759</xdr:colOff>
      <xdr:row>16</xdr:row>
      <xdr:rowOff>335525</xdr:rowOff>
    </xdr:to>
    <xdr:sp macro="" textlink="$AA$26">
      <xdr:nvSpPr>
        <xdr:cNvPr id="53" name="文本框 52">
          <a:extLst>
            <a:ext uri="{FF2B5EF4-FFF2-40B4-BE49-F238E27FC236}">
              <a16:creationId xmlns:a16="http://schemas.microsoft.com/office/drawing/2014/main" id="{2B29D67F-4C0D-26D2-C93D-89B4810B0E7F}"/>
            </a:ext>
          </a:extLst>
        </xdr:cNvPr>
        <xdr:cNvSpPr txBox="1"/>
      </xdr:nvSpPr>
      <xdr:spPr>
        <a:xfrm>
          <a:off x="12919565" y="6929290"/>
          <a:ext cx="1958554" cy="439495"/>
        </a:xfrm>
        <a:prstGeom prst="roundRect">
          <a:avLst/>
        </a:prstGeom>
        <a:noFill/>
        <a:ln w="9525" cmpd="sng">
          <a:solidFill>
            <a:srgbClr val="2EABB8"/>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 tIns="3600" rIns="3600" bIns="3600" rtlCol="0" anchor="ctr"/>
        <a:lstStyle/>
        <a:p>
          <a:pPr marL="0" indent="0" algn="ctr"/>
          <a:fld id="{11DE3C20-89CA-4496-A4CA-5C018C83262F}" type="TxLink">
            <a:rPr lang="zh-CN" altLang="en-US" sz="1100" b="1">
              <a:solidFill>
                <a:srgbClr val="2EABB8"/>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rPr>
            <a:pPr marL="0" indent="0" algn="ctr"/>
            <a:t> </a:t>
          </a:fld>
          <a:endParaRPr lang="en-US" altLang="zh-CN" sz="1100" b="1">
            <a:solidFill>
              <a:srgbClr val="2EABB8"/>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endParaRPr>
        </a:p>
      </xdr:txBody>
    </xdr:sp>
    <xdr:clientData/>
  </xdr:twoCellAnchor>
  <xdr:twoCellAnchor>
    <xdr:from>
      <xdr:col>14</xdr:col>
      <xdr:colOff>316085</xdr:colOff>
      <xdr:row>17</xdr:row>
      <xdr:rowOff>52751</xdr:rowOff>
    </xdr:from>
    <xdr:to>
      <xdr:col>17</xdr:col>
      <xdr:colOff>567759</xdr:colOff>
      <xdr:row>18</xdr:row>
      <xdr:rowOff>42664</xdr:rowOff>
    </xdr:to>
    <xdr:sp macro="" textlink="$AA$27">
      <xdr:nvSpPr>
        <xdr:cNvPr id="54" name="文本框 53">
          <a:extLst>
            <a:ext uri="{FF2B5EF4-FFF2-40B4-BE49-F238E27FC236}">
              <a16:creationId xmlns:a16="http://schemas.microsoft.com/office/drawing/2014/main" id="{65982CD2-1229-741E-B017-C4D761D233F8}"/>
            </a:ext>
          </a:extLst>
        </xdr:cNvPr>
        <xdr:cNvSpPr txBox="1"/>
      </xdr:nvSpPr>
      <xdr:spPr>
        <a:xfrm>
          <a:off x="12919565" y="7535591"/>
          <a:ext cx="1958554" cy="439493"/>
        </a:xfrm>
        <a:prstGeom prst="roundRect">
          <a:avLst/>
        </a:prstGeom>
        <a:noFill/>
        <a:ln w="9525" cmpd="sng">
          <a:solidFill>
            <a:srgbClr val="2EABB8"/>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 tIns="3600" rIns="3600" bIns="3600" rtlCol="0" anchor="ctr"/>
        <a:lstStyle/>
        <a:p>
          <a:pPr marL="0" indent="0" algn="ctr"/>
          <a:fld id="{DB234437-40BF-40E0-9876-19476F6BBDF7}" type="TxLink">
            <a:rPr lang="en-US" altLang="en-US" sz="1100" b="1">
              <a:solidFill>
                <a:srgbClr val="2EABB8"/>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rPr>
            <a:pPr marL="0" indent="0" algn="ctr"/>
            <a:t> </a:t>
          </a:fld>
          <a:endParaRPr lang="en-US" altLang="zh-CN" sz="1100" b="1">
            <a:solidFill>
              <a:srgbClr val="2EABB8"/>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endParaRPr>
        </a:p>
      </xdr:txBody>
    </xdr:sp>
    <xdr:clientData/>
  </xdr:twoCellAnchor>
  <xdr:twoCellAnchor>
    <xdr:from>
      <xdr:col>14</xdr:col>
      <xdr:colOff>316085</xdr:colOff>
      <xdr:row>18</xdr:row>
      <xdr:rowOff>211143</xdr:rowOff>
    </xdr:from>
    <xdr:to>
      <xdr:col>17</xdr:col>
      <xdr:colOff>567759</xdr:colOff>
      <xdr:row>19</xdr:row>
      <xdr:rowOff>201058</xdr:rowOff>
    </xdr:to>
    <xdr:sp macro="" textlink="$AA$28">
      <xdr:nvSpPr>
        <xdr:cNvPr id="55" name="文本框 54">
          <a:extLst>
            <a:ext uri="{FF2B5EF4-FFF2-40B4-BE49-F238E27FC236}">
              <a16:creationId xmlns:a16="http://schemas.microsoft.com/office/drawing/2014/main" id="{0AF8280C-A9C1-443F-CD0F-D73F319795D9}"/>
            </a:ext>
          </a:extLst>
        </xdr:cNvPr>
        <xdr:cNvSpPr txBox="1"/>
      </xdr:nvSpPr>
      <xdr:spPr>
        <a:xfrm>
          <a:off x="12919565" y="8143563"/>
          <a:ext cx="1958554" cy="439495"/>
        </a:xfrm>
        <a:prstGeom prst="roundRect">
          <a:avLst/>
        </a:prstGeom>
        <a:noFill/>
        <a:ln w="9525" cmpd="sng">
          <a:solidFill>
            <a:srgbClr val="2EABB8"/>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 tIns="3600" rIns="3600" bIns="3600" rtlCol="0" anchor="ctr"/>
        <a:lstStyle/>
        <a:p>
          <a:pPr marL="0" indent="0" algn="ctr"/>
          <a:fld id="{E7FF41EA-7121-4D12-BC94-F7B70477A80B}" type="TxLink">
            <a:rPr lang="en-US" altLang="en-US" sz="1100" b="1">
              <a:solidFill>
                <a:srgbClr val="2EABB8"/>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rPr>
            <a:pPr marL="0" indent="0" algn="ctr"/>
            <a:t> </a:t>
          </a:fld>
          <a:endParaRPr lang="en-US" altLang="zh-CN" sz="1100" b="1">
            <a:solidFill>
              <a:srgbClr val="2EABB8"/>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endParaRPr>
        </a:p>
      </xdr:txBody>
    </xdr:sp>
    <xdr:clientData/>
  </xdr:twoCellAnchor>
  <xdr:twoCellAnchor>
    <xdr:from>
      <xdr:col>14</xdr:col>
      <xdr:colOff>316085</xdr:colOff>
      <xdr:row>19</xdr:row>
      <xdr:rowOff>369539</xdr:rowOff>
    </xdr:from>
    <xdr:to>
      <xdr:col>17</xdr:col>
      <xdr:colOff>567759</xdr:colOff>
      <xdr:row>20</xdr:row>
      <xdr:rowOff>359454</xdr:rowOff>
    </xdr:to>
    <xdr:sp macro="" textlink="$AA$29">
      <xdr:nvSpPr>
        <xdr:cNvPr id="56" name="文本框 55">
          <a:extLst>
            <a:ext uri="{FF2B5EF4-FFF2-40B4-BE49-F238E27FC236}">
              <a16:creationId xmlns:a16="http://schemas.microsoft.com/office/drawing/2014/main" id="{7C80CA8C-0B1F-D9CD-B366-3DF8841F5583}"/>
            </a:ext>
          </a:extLst>
        </xdr:cNvPr>
        <xdr:cNvSpPr txBox="1"/>
      </xdr:nvSpPr>
      <xdr:spPr>
        <a:xfrm>
          <a:off x="12919565" y="8751539"/>
          <a:ext cx="1958554" cy="439495"/>
        </a:xfrm>
        <a:prstGeom prst="roundRect">
          <a:avLst/>
        </a:prstGeom>
        <a:noFill/>
        <a:ln w="9525" cmpd="sng">
          <a:solidFill>
            <a:srgbClr val="2EABB8"/>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 tIns="3600" rIns="3600" bIns="3600" rtlCol="0" anchor="ctr"/>
        <a:lstStyle/>
        <a:p>
          <a:pPr marL="0" indent="0" algn="ctr"/>
          <a:fld id="{196A3CD6-141C-465F-8668-4CBADBD42AC6}" type="TxLink">
            <a:rPr lang="en-US" altLang="en-US" sz="1100" b="1">
              <a:solidFill>
                <a:srgbClr val="2EABB8"/>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rPr>
            <a:pPr marL="0" indent="0" algn="ctr"/>
            <a:t> </a:t>
          </a:fld>
          <a:endParaRPr lang="en-US" altLang="zh-CN" sz="1100" b="1">
            <a:solidFill>
              <a:srgbClr val="2EABB8"/>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endParaRPr>
        </a:p>
      </xdr:txBody>
    </xdr:sp>
    <xdr:clientData/>
  </xdr:twoCellAnchor>
  <xdr:twoCellAnchor>
    <xdr:from>
      <xdr:col>14</xdr:col>
      <xdr:colOff>316085</xdr:colOff>
      <xdr:row>21</xdr:row>
      <xdr:rowOff>76679</xdr:rowOff>
    </xdr:from>
    <xdr:to>
      <xdr:col>17</xdr:col>
      <xdr:colOff>567759</xdr:colOff>
      <xdr:row>22</xdr:row>
      <xdr:rowOff>66593</xdr:rowOff>
    </xdr:to>
    <xdr:sp macro="" textlink="$AA$30">
      <xdr:nvSpPr>
        <xdr:cNvPr id="57" name="文本框 56">
          <a:extLst>
            <a:ext uri="{FF2B5EF4-FFF2-40B4-BE49-F238E27FC236}">
              <a16:creationId xmlns:a16="http://schemas.microsoft.com/office/drawing/2014/main" id="{80609C93-57D1-BAAF-F4CA-CA79595EF91E}"/>
            </a:ext>
          </a:extLst>
        </xdr:cNvPr>
        <xdr:cNvSpPr txBox="1"/>
      </xdr:nvSpPr>
      <xdr:spPr>
        <a:xfrm>
          <a:off x="12919565" y="9357839"/>
          <a:ext cx="1958554" cy="439494"/>
        </a:xfrm>
        <a:prstGeom prst="roundRect">
          <a:avLst/>
        </a:prstGeom>
        <a:noFill/>
        <a:ln w="9525" cmpd="sng">
          <a:solidFill>
            <a:srgbClr val="2EABB8"/>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 tIns="3600" rIns="3600" bIns="3600" rtlCol="0" anchor="ctr"/>
        <a:lstStyle/>
        <a:p>
          <a:pPr marL="0" indent="0" algn="ctr"/>
          <a:fld id="{FB7583D1-242A-4458-9F15-A8CCE6C6CF76}" type="TxLink">
            <a:rPr lang="en-US" altLang="en-US" sz="1100" b="1">
              <a:solidFill>
                <a:srgbClr val="2EABB8"/>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rPr>
            <a:pPr marL="0" indent="0" algn="ctr"/>
            <a:t> </a:t>
          </a:fld>
          <a:endParaRPr lang="en-US" altLang="zh-CN" sz="1100" b="1">
            <a:solidFill>
              <a:srgbClr val="2EABB8"/>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endParaRPr>
        </a:p>
      </xdr:txBody>
    </xdr:sp>
    <xdr:clientData/>
  </xdr:twoCellAnchor>
  <xdr:twoCellAnchor>
    <xdr:from>
      <xdr:col>14</xdr:col>
      <xdr:colOff>316085</xdr:colOff>
      <xdr:row>22</xdr:row>
      <xdr:rowOff>235073</xdr:rowOff>
    </xdr:from>
    <xdr:to>
      <xdr:col>17</xdr:col>
      <xdr:colOff>567759</xdr:colOff>
      <xdr:row>23</xdr:row>
      <xdr:rowOff>224988</xdr:rowOff>
    </xdr:to>
    <xdr:sp macro="" textlink="$AA$31">
      <xdr:nvSpPr>
        <xdr:cNvPr id="60" name="文本框 59">
          <a:extLst>
            <a:ext uri="{FF2B5EF4-FFF2-40B4-BE49-F238E27FC236}">
              <a16:creationId xmlns:a16="http://schemas.microsoft.com/office/drawing/2014/main" id="{ECA9726C-F7AC-B91C-8559-6F2980834DB7}"/>
            </a:ext>
          </a:extLst>
        </xdr:cNvPr>
        <xdr:cNvSpPr txBox="1"/>
      </xdr:nvSpPr>
      <xdr:spPr>
        <a:xfrm>
          <a:off x="12919565" y="9965813"/>
          <a:ext cx="1958554" cy="439495"/>
        </a:xfrm>
        <a:prstGeom prst="roundRect">
          <a:avLst/>
        </a:prstGeom>
        <a:noFill/>
        <a:ln w="9525" cmpd="sng">
          <a:solidFill>
            <a:srgbClr val="2EABB8"/>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 tIns="3600" rIns="3600" bIns="3600" rtlCol="0" anchor="ctr"/>
        <a:lstStyle/>
        <a:p>
          <a:pPr marL="0" indent="0" algn="ctr"/>
          <a:fld id="{0111ACBA-E46E-44D3-B120-70BE605BDB4E}" type="TxLink">
            <a:rPr lang="en-US" altLang="en-US" sz="1100" b="1">
              <a:solidFill>
                <a:srgbClr val="2EABB8"/>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rPr>
            <a:pPr marL="0" indent="0" algn="ctr"/>
            <a:t> </a:t>
          </a:fld>
          <a:endParaRPr lang="en-US" altLang="zh-CN" sz="1100" b="1">
            <a:solidFill>
              <a:srgbClr val="2EABB8"/>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endParaRPr>
        </a:p>
      </xdr:txBody>
    </xdr:sp>
    <xdr:clientData/>
  </xdr:twoCellAnchor>
  <xdr:twoCellAnchor>
    <xdr:from>
      <xdr:col>14</xdr:col>
      <xdr:colOff>316085</xdr:colOff>
      <xdr:row>23</xdr:row>
      <xdr:rowOff>393467</xdr:rowOff>
    </xdr:from>
    <xdr:to>
      <xdr:col>17</xdr:col>
      <xdr:colOff>567759</xdr:colOff>
      <xdr:row>24</xdr:row>
      <xdr:rowOff>383381</xdr:rowOff>
    </xdr:to>
    <xdr:sp macro="" textlink="$AA$32">
      <xdr:nvSpPr>
        <xdr:cNvPr id="61" name="文本框 60">
          <a:extLst>
            <a:ext uri="{FF2B5EF4-FFF2-40B4-BE49-F238E27FC236}">
              <a16:creationId xmlns:a16="http://schemas.microsoft.com/office/drawing/2014/main" id="{2ACAAB4C-D9BD-EB0A-34D9-CA28D6F1FC6E}"/>
            </a:ext>
          </a:extLst>
        </xdr:cNvPr>
        <xdr:cNvSpPr txBox="1"/>
      </xdr:nvSpPr>
      <xdr:spPr>
        <a:xfrm>
          <a:off x="12919565" y="10573787"/>
          <a:ext cx="1958554" cy="439494"/>
        </a:xfrm>
        <a:prstGeom prst="roundRect">
          <a:avLst/>
        </a:prstGeom>
        <a:noFill/>
        <a:ln w="9525" cmpd="sng">
          <a:solidFill>
            <a:srgbClr val="2EABB8"/>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 tIns="3600" rIns="3600" bIns="3600" rtlCol="0" anchor="ctr"/>
        <a:lstStyle/>
        <a:p>
          <a:pPr marL="0" indent="0" algn="ctr"/>
          <a:fld id="{5AE81DB2-9EBD-4566-98FE-0FE825E98379}" type="TxLink">
            <a:rPr lang="en-US" altLang="en-US" sz="1100" b="1">
              <a:solidFill>
                <a:srgbClr val="2EABB8"/>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rPr>
            <a:pPr marL="0" indent="0" algn="ctr"/>
            <a:t> </a:t>
          </a:fld>
          <a:endParaRPr lang="en-US" altLang="zh-CN" sz="1100" b="1">
            <a:solidFill>
              <a:srgbClr val="2EABB8"/>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endParaRPr>
        </a:p>
      </xdr:txBody>
    </xdr:sp>
    <xdr:clientData/>
  </xdr:twoCellAnchor>
  <xdr:twoCellAnchor>
    <xdr:from>
      <xdr:col>14</xdr:col>
      <xdr:colOff>316085</xdr:colOff>
      <xdr:row>25</xdr:row>
      <xdr:rowOff>100607</xdr:rowOff>
    </xdr:from>
    <xdr:to>
      <xdr:col>17</xdr:col>
      <xdr:colOff>567759</xdr:colOff>
      <xdr:row>26</xdr:row>
      <xdr:rowOff>90521</xdr:rowOff>
    </xdr:to>
    <xdr:sp macro="" textlink="$AA$33">
      <xdr:nvSpPr>
        <xdr:cNvPr id="469" name="文本框 468">
          <a:extLst>
            <a:ext uri="{FF2B5EF4-FFF2-40B4-BE49-F238E27FC236}">
              <a16:creationId xmlns:a16="http://schemas.microsoft.com/office/drawing/2014/main" id="{86DB8F6F-8E0F-A629-6257-9EDE6DFC1241}"/>
            </a:ext>
          </a:extLst>
        </xdr:cNvPr>
        <xdr:cNvSpPr txBox="1"/>
      </xdr:nvSpPr>
      <xdr:spPr>
        <a:xfrm>
          <a:off x="12919565" y="11180087"/>
          <a:ext cx="1958554" cy="439494"/>
        </a:xfrm>
        <a:prstGeom prst="roundRect">
          <a:avLst/>
        </a:prstGeom>
        <a:noFill/>
        <a:ln w="9525" cmpd="sng">
          <a:solidFill>
            <a:srgbClr val="2EABB8"/>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 tIns="3600" rIns="3600" bIns="3600" rtlCol="0" anchor="ctr"/>
        <a:lstStyle/>
        <a:p>
          <a:pPr marL="0" indent="0" algn="ctr"/>
          <a:fld id="{76E014BA-F1CE-42CF-B20D-FD47F7C67EE5}" type="TxLink">
            <a:rPr lang="en-US" altLang="en-US" sz="1100" b="1">
              <a:solidFill>
                <a:srgbClr val="2EABB8"/>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rPr>
            <a:pPr marL="0" indent="0" algn="ctr"/>
            <a:t> </a:t>
          </a:fld>
          <a:endParaRPr lang="en-US" altLang="zh-CN" sz="1100" b="1">
            <a:solidFill>
              <a:srgbClr val="2EABB8"/>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endParaRPr>
        </a:p>
      </xdr:txBody>
    </xdr:sp>
    <xdr:clientData/>
  </xdr:twoCellAnchor>
  <xdr:twoCellAnchor>
    <xdr:from>
      <xdr:col>14</xdr:col>
      <xdr:colOff>316085</xdr:colOff>
      <xdr:row>26</xdr:row>
      <xdr:rowOff>258999</xdr:rowOff>
    </xdr:from>
    <xdr:to>
      <xdr:col>17</xdr:col>
      <xdr:colOff>567759</xdr:colOff>
      <xdr:row>27</xdr:row>
      <xdr:rowOff>248913</xdr:rowOff>
    </xdr:to>
    <xdr:sp macro="" textlink="$AA$34">
      <xdr:nvSpPr>
        <xdr:cNvPr id="470" name="文本框 469">
          <a:extLst>
            <a:ext uri="{FF2B5EF4-FFF2-40B4-BE49-F238E27FC236}">
              <a16:creationId xmlns:a16="http://schemas.microsoft.com/office/drawing/2014/main" id="{F7B27C1F-BF25-5307-61E7-D32A72F74715}"/>
            </a:ext>
          </a:extLst>
        </xdr:cNvPr>
        <xdr:cNvSpPr txBox="1"/>
      </xdr:nvSpPr>
      <xdr:spPr>
        <a:xfrm>
          <a:off x="12919565" y="11788059"/>
          <a:ext cx="1958554" cy="439494"/>
        </a:xfrm>
        <a:prstGeom prst="roundRect">
          <a:avLst/>
        </a:prstGeom>
        <a:noFill/>
        <a:ln w="9525" cmpd="sng">
          <a:solidFill>
            <a:srgbClr val="2EABB8"/>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 tIns="3600" rIns="3600" bIns="3600" rtlCol="0" anchor="ctr"/>
        <a:lstStyle/>
        <a:p>
          <a:pPr marL="0" indent="0" algn="ctr"/>
          <a:fld id="{509D7B16-002A-4423-B36E-C2A3EF2C7B10}" type="TxLink">
            <a:rPr lang="en-US" altLang="en-US" sz="1100" b="1">
              <a:solidFill>
                <a:srgbClr val="2EABB8"/>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rPr>
            <a:pPr marL="0" indent="0" algn="ctr"/>
            <a:t> </a:t>
          </a:fld>
          <a:endParaRPr lang="en-US" altLang="zh-CN" sz="1100" b="1">
            <a:solidFill>
              <a:srgbClr val="2EABB8"/>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endParaRPr>
        </a:p>
      </xdr:txBody>
    </xdr:sp>
    <xdr:clientData/>
  </xdr:twoCellAnchor>
  <xdr:twoCellAnchor>
    <xdr:from>
      <xdr:col>14</xdr:col>
      <xdr:colOff>316085</xdr:colOff>
      <xdr:row>14</xdr:row>
      <xdr:rowOff>187216</xdr:rowOff>
    </xdr:from>
    <xdr:to>
      <xdr:col>17</xdr:col>
      <xdr:colOff>567759</xdr:colOff>
      <xdr:row>15</xdr:row>
      <xdr:rowOff>177130</xdr:rowOff>
    </xdr:to>
    <xdr:sp macro="" textlink="$AA$25">
      <xdr:nvSpPr>
        <xdr:cNvPr id="51" name="文本框 50">
          <a:extLst>
            <a:ext uri="{FF2B5EF4-FFF2-40B4-BE49-F238E27FC236}">
              <a16:creationId xmlns:a16="http://schemas.microsoft.com/office/drawing/2014/main" id="{B4D9AFFF-188F-9C27-087F-84E96507AD96}"/>
            </a:ext>
          </a:extLst>
        </xdr:cNvPr>
        <xdr:cNvSpPr txBox="1"/>
      </xdr:nvSpPr>
      <xdr:spPr>
        <a:xfrm>
          <a:off x="12919565" y="6321316"/>
          <a:ext cx="1958554" cy="439494"/>
        </a:xfrm>
        <a:prstGeom prst="roundRect">
          <a:avLst/>
        </a:prstGeom>
        <a:noFill/>
        <a:ln w="9525" cmpd="sng">
          <a:solidFill>
            <a:srgbClr val="2EABB8"/>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 tIns="3600" rIns="3600" bIns="3600" rtlCol="0" anchor="ctr"/>
        <a:lstStyle/>
        <a:p>
          <a:pPr marL="0" indent="0" algn="ctr"/>
          <a:fld id="{04D58C5B-3C25-4DD3-A83F-7DC341F3072C}" type="TxLink">
            <a:rPr lang="zh-CN" altLang="en-US" sz="1100" b="1">
              <a:solidFill>
                <a:srgbClr val="2EABB8"/>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rPr>
            <a:pPr marL="0" indent="0" algn="ctr"/>
            <a:t>*</a:t>
          </a:fld>
          <a:endParaRPr lang="en-US" altLang="zh-CN" sz="1100" b="1">
            <a:solidFill>
              <a:srgbClr val="2EABB8"/>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endParaRPr>
        </a:p>
      </xdr:txBody>
    </xdr:sp>
    <xdr:clientData/>
  </xdr:twoCellAnchor>
  <xdr:twoCellAnchor>
    <xdr:from>
      <xdr:col>15</xdr:col>
      <xdr:colOff>72272</xdr:colOff>
      <xdr:row>12</xdr:row>
      <xdr:rowOff>89029</xdr:rowOff>
    </xdr:from>
    <xdr:to>
      <xdr:col>17</xdr:col>
      <xdr:colOff>316273</xdr:colOff>
      <xdr:row>12</xdr:row>
      <xdr:rowOff>402534</xdr:rowOff>
    </xdr:to>
    <xdr:sp macro="" textlink="">
      <xdr:nvSpPr>
        <xdr:cNvPr id="7" name="文本框 6">
          <a:extLst>
            <a:ext uri="{FF2B5EF4-FFF2-40B4-BE49-F238E27FC236}">
              <a16:creationId xmlns:a16="http://schemas.microsoft.com/office/drawing/2014/main" id="{B8471353-8B0C-EC51-34A9-9686D338E748}"/>
            </a:ext>
          </a:extLst>
        </xdr:cNvPr>
        <xdr:cNvSpPr txBox="1"/>
      </xdr:nvSpPr>
      <xdr:spPr>
        <a:xfrm>
          <a:off x="13171052" y="5323969"/>
          <a:ext cx="1455581" cy="3135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zh-CN" altLang="en-US" sz="1600">
              <a:solidFill>
                <a:srgbClr val="2EABB8"/>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保单权益</a:t>
          </a:r>
          <a:endParaRPr lang="en-US" altLang="zh-CN" sz="1600">
            <a:solidFill>
              <a:srgbClr val="2EABB8"/>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endParaRPr>
        </a:p>
      </xdr:txBody>
    </xdr:sp>
    <xdr:clientData/>
  </xdr:twoCellAnchor>
  <xdr:twoCellAnchor>
    <xdr:from>
      <xdr:col>14</xdr:col>
      <xdr:colOff>316085</xdr:colOff>
      <xdr:row>13</xdr:row>
      <xdr:rowOff>28823</xdr:rowOff>
    </xdr:from>
    <xdr:to>
      <xdr:col>17</xdr:col>
      <xdr:colOff>567759</xdr:colOff>
      <xdr:row>14</xdr:row>
      <xdr:rowOff>25491</xdr:rowOff>
    </xdr:to>
    <xdr:sp macro="" textlink="$AA$24">
      <xdr:nvSpPr>
        <xdr:cNvPr id="11" name="文本框 10">
          <a:extLst>
            <a:ext uri="{FF2B5EF4-FFF2-40B4-BE49-F238E27FC236}">
              <a16:creationId xmlns:a16="http://schemas.microsoft.com/office/drawing/2014/main" id="{CACBB913-D113-C052-0A3E-EB011F56F232}"/>
            </a:ext>
          </a:extLst>
        </xdr:cNvPr>
        <xdr:cNvSpPr txBox="1"/>
      </xdr:nvSpPr>
      <xdr:spPr>
        <a:xfrm>
          <a:off x="12919565" y="5713343"/>
          <a:ext cx="1958554" cy="446248"/>
        </a:xfrm>
        <a:prstGeom prst="roundRect">
          <a:avLst/>
        </a:prstGeom>
        <a:noFill/>
        <a:ln w="9525" cmpd="sng">
          <a:solidFill>
            <a:srgbClr val="2EABB8"/>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 tIns="3600" rIns="3600" bIns="3600" rtlCol="0" anchor="ctr"/>
        <a:lstStyle/>
        <a:p>
          <a:pPr marL="0" indent="0" algn="ctr"/>
          <a:fld id="{9BE594C8-BBEA-414D-BA38-E2419822E193}" type="TxLink">
            <a:rPr lang="zh-CN" altLang="en-US" sz="1100" b="1">
              <a:solidFill>
                <a:srgbClr val="2EABB8"/>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rPr>
            <a:pPr marL="0" indent="0" algn="ctr"/>
            <a:t>南宋旅居权益*</a:t>
          </a:fld>
          <a:endParaRPr lang="en-US" altLang="zh-CN" sz="1100" b="1">
            <a:solidFill>
              <a:srgbClr val="2EABB8"/>
            </a:solidFill>
            <a:latin typeface="阿里巴巴普惠体 2.0 55 Regular" panose="00020600040101010101" pitchFamily="18" charset="-122"/>
            <a:ea typeface="阿里巴巴普惠体 2.0 55 Regular" panose="00020600040101010101" pitchFamily="18" charset="-122"/>
            <a:cs typeface="阿里巴巴普惠体 2.0 55 Regular" panose="00020600040101010101" pitchFamily="18" charset="-122"/>
          </a:endParaRPr>
        </a:p>
      </xdr:txBody>
    </xdr:sp>
    <xdr:clientData/>
  </xdr:twoCellAnchor>
  <xdr:twoCellAnchor>
    <xdr:from>
      <xdr:col>14</xdr:col>
      <xdr:colOff>346672</xdr:colOff>
      <xdr:row>3</xdr:row>
      <xdr:rowOff>49389</xdr:rowOff>
    </xdr:from>
    <xdr:to>
      <xdr:col>17</xdr:col>
      <xdr:colOff>537172</xdr:colOff>
      <xdr:row>9</xdr:row>
      <xdr:rowOff>747889</xdr:rowOff>
    </xdr:to>
    <xdr:sp macro="" textlink="$AL$24">
      <xdr:nvSpPr>
        <xdr:cNvPr id="31" name="矩形: 圆角 30">
          <a:extLst>
            <a:ext uri="{FF2B5EF4-FFF2-40B4-BE49-F238E27FC236}">
              <a16:creationId xmlns:a16="http://schemas.microsoft.com/office/drawing/2014/main" id="{441D7FEE-A52A-2220-E054-76E0C998DEB6}"/>
            </a:ext>
          </a:extLst>
        </xdr:cNvPr>
        <xdr:cNvSpPr/>
      </xdr:nvSpPr>
      <xdr:spPr>
        <a:xfrm>
          <a:off x="12950152" y="1390509"/>
          <a:ext cx="1897380" cy="3373120"/>
        </a:xfrm>
        <a:prstGeom prst="roundRect">
          <a:avLst>
            <a:gd name="adj" fmla="val 3704"/>
          </a:avLst>
        </a:prstGeom>
        <a:noFill/>
        <a:ln>
          <a:solidFill>
            <a:srgbClr val="C17C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fld id="{5CE8449F-3A59-48B4-91FE-1AF97CD501C7}" type="TxLink">
            <a:rPr lang="zh-CN" altLang="en-US" sz="1200" b="1" i="0" u="none" strike="noStrike">
              <a:solidFill>
                <a:srgbClr val="C17CFF"/>
              </a:solidFill>
              <a:latin typeface="阿里巴巴普惠体 2.0 55 Regular"/>
              <a:ea typeface="阿里巴巴普惠体 2.0 55 Regular"/>
              <a:cs typeface="阿里巴巴普惠体 2.0 55 Regular"/>
            </a:rPr>
            <a:pPr algn="l"/>
            <a:t>①百万医疗免赔额1万*
②甲状腺免责*
</a:t>
          </a:fld>
          <a:endParaRPr lang="zh-CN" altLang="en-US" sz="1200" b="1">
            <a:solidFill>
              <a:srgbClr val="C17CFF"/>
            </a:solidFill>
          </a:endParaRPr>
        </a:p>
      </xdr:txBody>
    </xdr:sp>
    <xdr:clientData/>
  </xdr:twoCellAnchor>
  <xdr:twoCellAnchor>
    <xdr:from>
      <xdr:col>1</xdr:col>
      <xdr:colOff>1</xdr:colOff>
      <xdr:row>0</xdr:row>
      <xdr:rowOff>38100</xdr:rowOff>
    </xdr:from>
    <xdr:to>
      <xdr:col>17</xdr:col>
      <xdr:colOff>617220</xdr:colOff>
      <xdr:row>2</xdr:row>
      <xdr:rowOff>143087</xdr:rowOff>
    </xdr:to>
    <xdr:grpSp>
      <xdr:nvGrpSpPr>
        <xdr:cNvPr id="32" name="组合 31">
          <a:extLst>
            <a:ext uri="{FF2B5EF4-FFF2-40B4-BE49-F238E27FC236}">
              <a16:creationId xmlns:a16="http://schemas.microsoft.com/office/drawing/2014/main" id="{66ADCF09-0F48-98E2-B8BA-8604B32A461B}"/>
            </a:ext>
          </a:extLst>
        </xdr:cNvPr>
        <xdr:cNvGrpSpPr/>
      </xdr:nvGrpSpPr>
      <xdr:grpSpPr>
        <a:xfrm>
          <a:off x="60961" y="38100"/>
          <a:ext cx="14767559" cy="897467"/>
          <a:chOff x="60961" y="38100"/>
          <a:chExt cx="14767559" cy="897467"/>
        </a:xfrm>
      </xdr:grpSpPr>
      <xdr:sp macro="" textlink="">
        <xdr:nvSpPr>
          <xdr:cNvPr id="8" name="矩形: 圆角 7">
            <a:extLst>
              <a:ext uri="{FF2B5EF4-FFF2-40B4-BE49-F238E27FC236}">
                <a16:creationId xmlns:a16="http://schemas.microsoft.com/office/drawing/2014/main" id="{37E6DA60-5720-0C82-8CDD-6DC38B94BE68}"/>
              </a:ext>
            </a:extLst>
          </xdr:cNvPr>
          <xdr:cNvSpPr/>
        </xdr:nvSpPr>
        <xdr:spPr>
          <a:xfrm>
            <a:off x="76201" y="167639"/>
            <a:ext cx="14752319" cy="635000"/>
          </a:xfrm>
          <a:prstGeom prst="roundRect">
            <a:avLst/>
          </a:prstGeom>
          <a:gradFill>
            <a:gsLst>
              <a:gs pos="0">
                <a:schemeClr val="accent1">
                  <a:lumMod val="60000"/>
                  <a:lumOff val="40000"/>
                </a:schemeClr>
              </a:gs>
              <a:gs pos="0">
                <a:srgbClr val="C17CFF"/>
              </a:gs>
              <a:gs pos="100000">
                <a:srgbClr val="FF7C80"/>
              </a:gs>
            </a:gsLst>
            <a:lin ang="10800000" scaled="1"/>
          </a:gra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zh-CN" altLang="en-US" sz="1100"/>
          </a:p>
        </xdr:txBody>
      </xdr:sp>
      <xdr:pic>
        <xdr:nvPicPr>
          <xdr:cNvPr id="12" name="图片 11">
            <a:extLst>
              <a:ext uri="{FF2B5EF4-FFF2-40B4-BE49-F238E27FC236}">
                <a16:creationId xmlns:a16="http://schemas.microsoft.com/office/drawing/2014/main" id="{AF898EE5-E53A-C02B-314E-5AC294B4707F}"/>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4432785" y="38100"/>
            <a:ext cx="915542" cy="897467"/>
          </a:xfrm>
          <a:prstGeom prst="rect">
            <a:avLst/>
          </a:prstGeom>
        </xdr:spPr>
      </xdr:pic>
      <xdr:sp macro="" textlink="">
        <xdr:nvSpPr>
          <xdr:cNvPr id="18" name="文本框 17">
            <a:extLst>
              <a:ext uri="{FF2B5EF4-FFF2-40B4-BE49-F238E27FC236}">
                <a16:creationId xmlns:a16="http://schemas.microsoft.com/office/drawing/2014/main" id="{27E97304-668F-C350-065C-9FA6925D601A}"/>
              </a:ext>
            </a:extLst>
          </xdr:cNvPr>
          <xdr:cNvSpPr txBox="1"/>
        </xdr:nvSpPr>
        <xdr:spPr>
          <a:xfrm>
            <a:off x="125988" y="141393"/>
            <a:ext cx="1286941" cy="533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zh-CN" altLang="en-US" sz="3200">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尧典</a:t>
            </a:r>
          </a:p>
        </xdr:txBody>
      </xdr:sp>
      <xdr:sp macro="" textlink="">
        <xdr:nvSpPr>
          <xdr:cNvPr id="23" name="文本框 22">
            <a:extLst>
              <a:ext uri="{FF2B5EF4-FFF2-40B4-BE49-F238E27FC236}">
                <a16:creationId xmlns:a16="http://schemas.microsoft.com/office/drawing/2014/main" id="{8F2449C9-F960-B9A7-1F46-362850652643}"/>
              </a:ext>
            </a:extLst>
          </xdr:cNvPr>
          <xdr:cNvSpPr txBox="1"/>
        </xdr:nvSpPr>
        <xdr:spPr>
          <a:xfrm>
            <a:off x="5113021" y="233679"/>
            <a:ext cx="5273040" cy="533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zh-CN" altLang="en-US" sz="2400">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图难于其易，为大于其细</a:t>
            </a:r>
            <a:r>
              <a:rPr lang="en-US" altLang="zh-CN" sz="2400">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a:t>
            </a:r>
            <a:r>
              <a:rPr lang="zh-CN" altLang="en-US" sz="2400">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道德经</a:t>
            </a:r>
            <a:r>
              <a:rPr lang="en-US" altLang="zh-CN" sz="2400">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a:t>
            </a:r>
            <a:endParaRPr lang="zh-CN" altLang="en-US" sz="2400">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endParaRPr>
          </a:p>
        </xdr:txBody>
      </xdr:sp>
      <xdr:sp macro="" textlink="">
        <xdr:nvSpPr>
          <xdr:cNvPr id="24" name="文本框 23">
            <a:extLst>
              <a:ext uri="{FF2B5EF4-FFF2-40B4-BE49-F238E27FC236}">
                <a16:creationId xmlns:a16="http://schemas.microsoft.com/office/drawing/2014/main" id="{4613F16B-B499-79FF-EE4C-263D0B85CAC5}"/>
              </a:ext>
            </a:extLst>
          </xdr:cNvPr>
          <xdr:cNvSpPr txBox="1"/>
        </xdr:nvSpPr>
        <xdr:spPr>
          <a:xfrm>
            <a:off x="60961" y="579120"/>
            <a:ext cx="143256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altLang="zh-CN" sz="1200" b="1">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wenjings.com</a:t>
            </a:r>
            <a:endParaRPr lang="zh-CN" altLang="en-US" sz="1200" b="1">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15241</xdr:colOff>
      <xdr:row>0</xdr:row>
      <xdr:rowOff>129539</xdr:rowOff>
    </xdr:from>
    <xdr:to>
      <xdr:col>13</xdr:col>
      <xdr:colOff>7621</xdr:colOff>
      <xdr:row>0</xdr:row>
      <xdr:rowOff>764539</xdr:rowOff>
    </xdr:to>
    <xdr:sp macro="" textlink="">
      <xdr:nvSpPr>
        <xdr:cNvPr id="2" name="矩形: 圆角 1">
          <a:extLst>
            <a:ext uri="{FF2B5EF4-FFF2-40B4-BE49-F238E27FC236}">
              <a16:creationId xmlns:a16="http://schemas.microsoft.com/office/drawing/2014/main" id="{1520E8B4-B9B4-42DC-90BF-9E18016932EE}"/>
            </a:ext>
          </a:extLst>
        </xdr:cNvPr>
        <xdr:cNvSpPr/>
      </xdr:nvSpPr>
      <xdr:spPr>
        <a:xfrm>
          <a:off x="137161" y="129539"/>
          <a:ext cx="13746480" cy="635000"/>
        </a:xfrm>
        <a:prstGeom prst="roundRect">
          <a:avLst/>
        </a:prstGeom>
        <a:gradFill>
          <a:gsLst>
            <a:gs pos="0">
              <a:schemeClr val="accent1">
                <a:lumMod val="60000"/>
                <a:lumOff val="40000"/>
              </a:schemeClr>
            </a:gs>
            <a:gs pos="0">
              <a:srgbClr val="C17CFF"/>
            </a:gs>
            <a:gs pos="100000">
              <a:srgbClr val="FF7C80"/>
            </a:gs>
          </a:gsLst>
          <a:lin ang="10800000" scaled="1"/>
        </a:gra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zh-CN" altLang="en-US" sz="1100"/>
        </a:p>
      </xdr:txBody>
    </xdr:sp>
    <xdr:clientData/>
  </xdr:twoCellAnchor>
  <xdr:twoCellAnchor>
    <xdr:from>
      <xdr:col>1</xdr:col>
      <xdr:colOff>65027</xdr:colOff>
      <xdr:row>0</xdr:row>
      <xdr:rowOff>103293</xdr:rowOff>
    </xdr:from>
    <xdr:to>
      <xdr:col>2</xdr:col>
      <xdr:colOff>529008</xdr:colOff>
      <xdr:row>0</xdr:row>
      <xdr:rowOff>636693</xdr:rowOff>
    </xdr:to>
    <xdr:sp macro="" textlink="">
      <xdr:nvSpPr>
        <xdr:cNvPr id="4" name="文本框 3">
          <a:extLst>
            <a:ext uri="{FF2B5EF4-FFF2-40B4-BE49-F238E27FC236}">
              <a16:creationId xmlns:a16="http://schemas.microsoft.com/office/drawing/2014/main" id="{397A2F82-CE0D-43AC-95B7-B53102C0FCDF}"/>
            </a:ext>
          </a:extLst>
        </xdr:cNvPr>
        <xdr:cNvSpPr txBox="1"/>
      </xdr:nvSpPr>
      <xdr:spPr>
        <a:xfrm>
          <a:off x="186947" y="103293"/>
          <a:ext cx="1286941" cy="533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zh-CN" altLang="en-US" sz="3200">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尧典</a:t>
          </a:r>
        </a:p>
      </xdr:txBody>
    </xdr:sp>
    <xdr:clientData/>
  </xdr:twoCellAnchor>
  <xdr:twoCellAnchor>
    <xdr:from>
      <xdr:col>1</xdr:col>
      <xdr:colOff>0</xdr:colOff>
      <xdr:row>0</xdr:row>
      <xdr:rowOff>541020</xdr:rowOff>
    </xdr:from>
    <xdr:to>
      <xdr:col>2</xdr:col>
      <xdr:colOff>609600</xdr:colOff>
      <xdr:row>0</xdr:row>
      <xdr:rowOff>769620</xdr:rowOff>
    </xdr:to>
    <xdr:sp macro="" textlink="">
      <xdr:nvSpPr>
        <xdr:cNvPr id="6" name="文本框 5">
          <a:extLst>
            <a:ext uri="{FF2B5EF4-FFF2-40B4-BE49-F238E27FC236}">
              <a16:creationId xmlns:a16="http://schemas.microsoft.com/office/drawing/2014/main" id="{C26D25BC-A6BC-4D0F-BD2A-8040C982C673}"/>
            </a:ext>
          </a:extLst>
        </xdr:cNvPr>
        <xdr:cNvSpPr txBox="1"/>
      </xdr:nvSpPr>
      <xdr:spPr>
        <a:xfrm>
          <a:off x="121920" y="541020"/>
          <a:ext cx="143256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altLang="zh-CN" sz="1200" b="1">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wenjings.com</a:t>
          </a:r>
          <a:endParaRPr lang="zh-CN" altLang="en-US" sz="1200" b="1">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endParaRPr>
        </a:p>
      </xdr:txBody>
    </xdr:sp>
    <xdr:clientData/>
  </xdr:twoCellAnchor>
  <xdr:twoCellAnchor>
    <xdr:from>
      <xdr:col>7</xdr:col>
      <xdr:colOff>594360</xdr:colOff>
      <xdr:row>0</xdr:row>
      <xdr:rowOff>213360</xdr:rowOff>
    </xdr:from>
    <xdr:to>
      <xdr:col>7</xdr:col>
      <xdr:colOff>1047750</xdr:colOff>
      <xdr:row>0</xdr:row>
      <xdr:rowOff>624840</xdr:rowOff>
    </xdr:to>
    <xdr:sp macro="" textlink="">
      <xdr:nvSpPr>
        <xdr:cNvPr id="12" name="箭头: 手杖形 11">
          <a:extLst>
            <a:ext uri="{FF2B5EF4-FFF2-40B4-BE49-F238E27FC236}">
              <a16:creationId xmlns:a16="http://schemas.microsoft.com/office/drawing/2014/main" id="{1389B325-D87A-2796-CA18-1B3D5204FD18}"/>
            </a:ext>
          </a:extLst>
        </xdr:cNvPr>
        <xdr:cNvSpPr/>
      </xdr:nvSpPr>
      <xdr:spPr>
        <a:xfrm rot="5400000" flipH="1">
          <a:off x="8212455" y="192405"/>
          <a:ext cx="411480" cy="453390"/>
        </a:xfrm>
        <a:prstGeom prst="uturnArrow">
          <a:avLst>
            <a:gd name="adj1" fmla="val 17793"/>
            <a:gd name="adj2" fmla="val 25000"/>
            <a:gd name="adj3" fmla="val 19161"/>
            <a:gd name="adj4" fmla="val 43750"/>
            <a:gd name="adj5" fmla="val 100000"/>
          </a:avLst>
        </a:prstGeom>
        <a:solidFill>
          <a:srgbClr val="FFF7E3"/>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zh-CN" altLang="en-US" sz="1100">
            <a:solidFill>
              <a:schemeClr val="tx1"/>
            </a:solidFill>
          </a:endParaRPr>
        </a:p>
      </xdr:txBody>
    </xdr:sp>
    <xdr:clientData/>
  </xdr:twoCellAnchor>
  <xdr:twoCellAnchor>
    <xdr:from>
      <xdr:col>4</xdr:col>
      <xdr:colOff>304800</xdr:colOff>
      <xdr:row>0</xdr:row>
      <xdr:rowOff>175260</xdr:rowOff>
    </xdr:from>
    <xdr:to>
      <xdr:col>7</xdr:col>
      <xdr:colOff>1264921</xdr:colOff>
      <xdr:row>0</xdr:row>
      <xdr:rowOff>708660</xdr:rowOff>
    </xdr:to>
    <xdr:sp macro="" textlink="">
      <xdr:nvSpPr>
        <xdr:cNvPr id="3" name="文本框 2">
          <a:extLst>
            <a:ext uri="{FF2B5EF4-FFF2-40B4-BE49-F238E27FC236}">
              <a16:creationId xmlns:a16="http://schemas.microsoft.com/office/drawing/2014/main" id="{946B2D1A-1E97-4217-82D2-96BD2F59AAFC}"/>
            </a:ext>
          </a:extLst>
        </xdr:cNvPr>
        <xdr:cNvSpPr txBox="1"/>
      </xdr:nvSpPr>
      <xdr:spPr>
        <a:xfrm>
          <a:off x="4488180" y="175260"/>
          <a:ext cx="4373881" cy="533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zh-CN" altLang="en-US" sz="2400">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记录</a:t>
          </a:r>
          <a:r>
            <a:rPr lang="en-US" altLang="zh-CN" sz="2400">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 </a:t>
          </a:r>
          <a:r>
            <a:rPr lang="zh-CN" altLang="en-US" sz="2400">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 洞察</a:t>
          </a:r>
          <a:r>
            <a:rPr lang="en-US" altLang="zh-CN" sz="2400">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 </a:t>
          </a:r>
          <a:r>
            <a:rPr lang="zh-CN" altLang="en-US" sz="2400">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 成交</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134183</xdr:rowOff>
    </xdr:from>
    <xdr:to>
      <xdr:col>13</xdr:col>
      <xdr:colOff>647700</xdr:colOff>
      <xdr:row>0</xdr:row>
      <xdr:rowOff>999779</xdr:rowOff>
    </xdr:to>
    <xdr:grpSp>
      <xdr:nvGrpSpPr>
        <xdr:cNvPr id="2" name="组合 1">
          <a:extLst>
            <a:ext uri="{FF2B5EF4-FFF2-40B4-BE49-F238E27FC236}">
              <a16:creationId xmlns:a16="http://schemas.microsoft.com/office/drawing/2014/main" id="{1538DED4-60B3-42EA-8CAC-F98BD6B49738}"/>
            </a:ext>
          </a:extLst>
        </xdr:cNvPr>
        <xdr:cNvGrpSpPr/>
      </xdr:nvGrpSpPr>
      <xdr:grpSpPr>
        <a:xfrm>
          <a:off x="0" y="134183"/>
          <a:ext cx="15354300" cy="865596"/>
          <a:chOff x="60961" y="141393"/>
          <a:chExt cx="14767559" cy="666327"/>
        </a:xfrm>
      </xdr:grpSpPr>
      <xdr:sp macro="" textlink="">
        <xdr:nvSpPr>
          <xdr:cNvPr id="3" name="矩形: 圆角 2">
            <a:extLst>
              <a:ext uri="{FF2B5EF4-FFF2-40B4-BE49-F238E27FC236}">
                <a16:creationId xmlns:a16="http://schemas.microsoft.com/office/drawing/2014/main" id="{E83F7DE0-94D6-09ED-6B77-D2889BB1E1AB}"/>
              </a:ext>
            </a:extLst>
          </xdr:cNvPr>
          <xdr:cNvSpPr/>
        </xdr:nvSpPr>
        <xdr:spPr>
          <a:xfrm>
            <a:off x="76201" y="167639"/>
            <a:ext cx="14752319" cy="635000"/>
          </a:xfrm>
          <a:prstGeom prst="roundRect">
            <a:avLst/>
          </a:prstGeom>
          <a:gradFill>
            <a:gsLst>
              <a:gs pos="0">
                <a:schemeClr val="accent1">
                  <a:lumMod val="60000"/>
                  <a:lumOff val="40000"/>
                </a:schemeClr>
              </a:gs>
              <a:gs pos="0">
                <a:srgbClr val="C17CFF"/>
              </a:gs>
              <a:gs pos="100000">
                <a:srgbClr val="FF7C80"/>
              </a:gs>
            </a:gsLst>
            <a:lin ang="10800000" scaled="1"/>
          </a:gra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zh-CN" altLang="en-US" sz="1100"/>
          </a:p>
        </xdr:txBody>
      </xdr:sp>
      <xdr:sp macro="" textlink="">
        <xdr:nvSpPr>
          <xdr:cNvPr id="5" name="文本框 4">
            <a:extLst>
              <a:ext uri="{FF2B5EF4-FFF2-40B4-BE49-F238E27FC236}">
                <a16:creationId xmlns:a16="http://schemas.microsoft.com/office/drawing/2014/main" id="{B58A226D-B719-25A4-5EB0-FB6E423C5FCA}"/>
              </a:ext>
            </a:extLst>
          </xdr:cNvPr>
          <xdr:cNvSpPr txBox="1"/>
        </xdr:nvSpPr>
        <xdr:spPr>
          <a:xfrm>
            <a:off x="125988" y="141393"/>
            <a:ext cx="1286941" cy="533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zh-CN" altLang="en-US" sz="3200">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尧典</a:t>
            </a:r>
          </a:p>
        </xdr:txBody>
      </xdr:sp>
      <xdr:sp macro="" textlink="">
        <xdr:nvSpPr>
          <xdr:cNvPr id="7" name="文本框 6">
            <a:extLst>
              <a:ext uri="{FF2B5EF4-FFF2-40B4-BE49-F238E27FC236}">
                <a16:creationId xmlns:a16="http://schemas.microsoft.com/office/drawing/2014/main" id="{0EA393EF-AB9B-BAB6-8588-D8E19E0E9146}"/>
              </a:ext>
            </a:extLst>
          </xdr:cNvPr>
          <xdr:cNvSpPr txBox="1"/>
        </xdr:nvSpPr>
        <xdr:spPr>
          <a:xfrm>
            <a:off x="60961" y="579120"/>
            <a:ext cx="143256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altLang="zh-CN" sz="1200" b="1">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wenjings.com</a:t>
            </a:r>
            <a:endParaRPr lang="zh-CN" altLang="en-US" sz="1200" b="1">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endParaRPr>
          </a:p>
        </xdr:txBody>
      </xdr:sp>
    </xdr:grpSp>
    <xdr:clientData/>
  </xdr:twoCellAnchor>
  <xdr:twoCellAnchor>
    <xdr:from>
      <xdr:col>1</xdr:col>
      <xdr:colOff>581224</xdr:colOff>
      <xdr:row>0</xdr:row>
      <xdr:rowOff>167640</xdr:rowOff>
    </xdr:from>
    <xdr:to>
      <xdr:col>5</xdr:col>
      <xdr:colOff>327659</xdr:colOff>
      <xdr:row>0</xdr:row>
      <xdr:rowOff>944880</xdr:rowOff>
    </xdr:to>
    <xdr:graphicFrame macro="">
      <xdr:nvGraphicFramePr>
        <xdr:cNvPr id="11" name="图表 10">
          <a:extLst>
            <a:ext uri="{FF2B5EF4-FFF2-40B4-BE49-F238E27FC236}">
              <a16:creationId xmlns:a16="http://schemas.microsoft.com/office/drawing/2014/main" id="{03AB05C6-638C-60E0-7958-C5DE000B29C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584990</xdr:colOff>
      <xdr:row>0</xdr:row>
      <xdr:rowOff>599003</xdr:rowOff>
    </xdr:from>
    <xdr:to>
      <xdr:col>14</xdr:col>
      <xdr:colOff>5870</xdr:colOff>
      <xdr:row>0</xdr:row>
      <xdr:rowOff>985718</xdr:rowOff>
    </xdr:to>
    <xdr:sp macro="" textlink="">
      <xdr:nvSpPr>
        <xdr:cNvPr id="9" name="文本框 8">
          <a:extLst>
            <a:ext uri="{FF2B5EF4-FFF2-40B4-BE49-F238E27FC236}">
              <a16:creationId xmlns:a16="http://schemas.microsoft.com/office/drawing/2014/main" id="{0EC7DE7C-8F6E-42AD-985E-2E00A05947A5}"/>
            </a:ext>
          </a:extLst>
        </xdr:cNvPr>
        <xdr:cNvSpPr txBox="1"/>
      </xdr:nvSpPr>
      <xdr:spPr>
        <a:xfrm>
          <a:off x="12616970" y="599003"/>
          <a:ext cx="2948940" cy="3867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zh-CN" altLang="en-US" sz="1000">
              <a:solidFill>
                <a:schemeClr val="bg1"/>
              </a:solidFill>
              <a:effectLst>
                <a:outerShdw blurRad="38100" dist="12700" dir="5400000" algn="t" rotWithShape="0">
                  <a:prstClr val="black">
                    <a:alpha val="40000"/>
                  </a:prstClr>
                </a:outerShdw>
              </a:effectLst>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联系邮箱：</a:t>
          </a:r>
          <a:r>
            <a:rPr lang="en-US" altLang="zh-CN" sz="1000">
              <a:solidFill>
                <a:schemeClr val="bg1"/>
              </a:solidFill>
              <a:effectLst>
                <a:outerShdw blurRad="38100" dist="12700" dir="5400000" algn="t" rotWithShape="0">
                  <a:prstClr val="black">
                    <a:alpha val="40000"/>
                  </a:prstClr>
                </a:outerShdw>
              </a:effectLst>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ChalireCheung@wenjings.com</a:t>
          </a:r>
        </a:p>
      </xdr:txBody>
    </xdr:sp>
    <xdr:clientData/>
  </xdr:twoCellAnchor>
  <xdr:twoCellAnchor>
    <xdr:from>
      <xdr:col>5</xdr:col>
      <xdr:colOff>388620</xdr:colOff>
      <xdr:row>0</xdr:row>
      <xdr:rowOff>342900</xdr:rowOff>
    </xdr:from>
    <xdr:to>
      <xdr:col>9</xdr:col>
      <xdr:colOff>76201</xdr:colOff>
      <xdr:row>0</xdr:row>
      <xdr:rowOff>876300</xdr:rowOff>
    </xdr:to>
    <xdr:sp macro="" textlink="">
      <xdr:nvSpPr>
        <xdr:cNvPr id="4" name="文本框 3">
          <a:extLst>
            <a:ext uri="{FF2B5EF4-FFF2-40B4-BE49-F238E27FC236}">
              <a16:creationId xmlns:a16="http://schemas.microsoft.com/office/drawing/2014/main" id="{4A7C7808-564B-4B75-92E8-51C238C51081}"/>
            </a:ext>
          </a:extLst>
        </xdr:cNvPr>
        <xdr:cNvSpPr txBox="1"/>
      </xdr:nvSpPr>
      <xdr:spPr>
        <a:xfrm>
          <a:off x="5867400" y="342900"/>
          <a:ext cx="4373881" cy="533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zh-CN" altLang="en-US" sz="2400">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记录</a:t>
          </a:r>
          <a:r>
            <a:rPr lang="en-US" altLang="zh-CN" sz="2400">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 </a:t>
          </a:r>
          <a:r>
            <a:rPr lang="zh-CN" altLang="en-US" sz="2400">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 洞察</a:t>
          </a:r>
          <a:r>
            <a:rPr lang="en-US" altLang="zh-CN" sz="2400">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 </a:t>
          </a:r>
          <a:r>
            <a:rPr lang="zh-CN" altLang="en-US" sz="2400">
              <a:solidFill>
                <a:srgbClr val="FFF7E3"/>
              </a:solidFill>
              <a:latin typeface="阿里巴巴普惠体 2.0 65 Medium" panose="00020600040101010101" pitchFamily="18" charset="-122"/>
              <a:ea typeface="阿里巴巴普惠体 2.0 65 Medium" panose="00020600040101010101" pitchFamily="18" charset="-122"/>
              <a:cs typeface="阿里巴巴普惠体 2.0 65 Medium" panose="00020600040101010101" pitchFamily="18" charset="-122"/>
            </a:rPr>
            <a:t>→ 成交</a:t>
          </a:r>
        </a:p>
      </xdr:txBody>
    </xdr:sp>
    <xdr:clientData/>
  </xdr:twoCellAnchor>
  <xdr:twoCellAnchor>
    <xdr:from>
      <xdr:col>8</xdr:col>
      <xdr:colOff>129539</xdr:colOff>
      <xdr:row>0</xdr:row>
      <xdr:rowOff>375921</xdr:rowOff>
    </xdr:from>
    <xdr:to>
      <xdr:col>8</xdr:col>
      <xdr:colOff>582929</xdr:colOff>
      <xdr:row>0</xdr:row>
      <xdr:rowOff>787401</xdr:rowOff>
    </xdr:to>
    <xdr:sp macro="" textlink="">
      <xdr:nvSpPr>
        <xdr:cNvPr id="6" name="箭头: 手杖形 5">
          <a:extLst>
            <a:ext uri="{FF2B5EF4-FFF2-40B4-BE49-F238E27FC236}">
              <a16:creationId xmlns:a16="http://schemas.microsoft.com/office/drawing/2014/main" id="{4F0165FC-25E8-41D5-B0E8-FBB3C8A71146}"/>
            </a:ext>
          </a:extLst>
        </xdr:cNvPr>
        <xdr:cNvSpPr/>
      </xdr:nvSpPr>
      <xdr:spPr>
        <a:xfrm rot="5400000" flipH="1">
          <a:off x="9462134" y="354966"/>
          <a:ext cx="411480" cy="453390"/>
        </a:xfrm>
        <a:prstGeom prst="uturnArrow">
          <a:avLst>
            <a:gd name="adj1" fmla="val 17793"/>
            <a:gd name="adj2" fmla="val 25000"/>
            <a:gd name="adj3" fmla="val 19161"/>
            <a:gd name="adj4" fmla="val 43750"/>
            <a:gd name="adj5" fmla="val 100000"/>
          </a:avLst>
        </a:prstGeom>
        <a:solidFill>
          <a:srgbClr val="FFF7E3"/>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zh-CN" altLang="en-US" sz="1100">
            <a:solidFill>
              <a:schemeClr val="tx1"/>
            </a:solidFill>
          </a:endParaRPr>
        </a:p>
      </xdr:txBody>
    </xdr:sp>
    <xdr:clientData/>
  </xdr:twoCellAnchor>
</xdr:wsDr>
</file>

<file path=xl/persons/person.xml><?xml version="1.0" encoding="utf-8"?>
<personList xmlns="http://schemas.microsoft.com/office/spreadsheetml/2018/threadedcomments" xmlns:x="http://schemas.openxmlformats.org/spreadsheetml/2006/main">
  <person displayName="Charlie" id="{2C952B1B-8846-431C-983F-9259E774336F}" userId="Charlie" providerId="Non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gradFill>
          <a:gsLst>
            <a:gs pos="0">
              <a:srgbClr val="F4525B"/>
            </a:gs>
            <a:gs pos="100000">
              <a:srgbClr val="BA1D32"/>
            </a:gs>
          </a:gsLst>
          <a:lin ang="10800000" scaled="1"/>
        </a:gradFill>
        <a:ln>
          <a:noFill/>
        </a:ln>
      </a:spPr>
      <a:bodyPr vertOverflow="clip" horzOverflow="clip" rtlCol="0" anchor="t"/>
      <a:lstStyle>
        <a:defPPr algn="l">
          <a:defRPr sz="1100"/>
        </a:defPPr>
      </a:lstStyle>
      <a:style>
        <a:lnRef idx="2">
          <a:schemeClr val="accent1">
            <a:shade val="15000"/>
          </a:schemeClr>
        </a:lnRef>
        <a:fillRef idx="1">
          <a:schemeClr val="accent1"/>
        </a:fillRef>
        <a:effectRef idx="0">
          <a:schemeClr val="accent1"/>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Y2" dT="2024-09-04T08:35:37.99" personId="{2C952B1B-8846-431C-983F-9259E774336F}" id="{0A4DF643-7E9C-46FC-9C25-B8ED21903AD0}">
    <text>①智能笔记《保单利益整理》记录方法：
【xxxx0000】中xxx表示利益的名称，0000表示对应利益的金额。例如智能笔记中记录【轻症100000】则会让《保单利益整理》单独显示一条【轻症】责任，图表中的金额为100000。
同一被保险人对应的智能笔记中所有名称相同的责任会自动进行汇总，但须保证使用名称必须完全一致。例如张三作为被保险人的智能笔记中有如下二条记录。分别为【轻症50000+重症150000】、【轻疾100000+重症400000】，那么张三的《保单利益整理》中会出现三条责任，分别是【轻症】责任对应金额50000、【轻疾】责任对应金额100000、【重症】责任对应金额500000。
*"保证领取"、"预期领取"、"保单权益"、"特别事宜"这四个四字词条作为特殊词条，已有固定功用占用，如《保单利益整理》中有类似意思表达，请替换其它近义词条。
②特殊词条记录方法：
1.《保单领取》由两个固定词条触发生成，分别为"保证领取"和"预期领取"。只要智能笔记中出现"保证领取"和"预期领取"时，会自动将对应责任记录到《保单领取》图表中。例如【60岁保证领取100000】或者【65-70岁每年预期领取50000】。
2.《特别事宜》由"特别事宜"固定词条触发，《保单权益》由"保单权益"固定词条触发。则要智能笔记中出现"特别事宜"、"保单权益"，则都会将其归类到《个人信息》页面右侧的《特别事宜》和《保单权益》中，并自动剔除"特别事宜"和"保单权益"词条的前缀。例如智能笔记中记录【特别事宜百万医疗免赔额1万+保单权益享有全国旅居养老】，此时会在"特别事宜"中显示"百万医疗免赔额1万",在"保单求权益"中显示"享有全国旅居养老"。
*注意*《特别事宜》和《保单权益》不能以纯数字结尾，即最后一位字符不能为阿拉伯数字，但阿拉伯数字出现在中间则不受影响。</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4.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5F073-4779-4A83-B231-C61D8C3304D9}">
  <sheetPr codeName="Sheet2">
    <tabColor rgb="FFFFC96B"/>
    <pageSetUpPr fitToPage="1"/>
  </sheetPr>
  <dimension ref="A1:AN100"/>
  <sheetViews>
    <sheetView showGridLines="0" zoomScale="80" zoomScaleNormal="80" workbookViewId="0">
      <selection activeCell="AN22" sqref="AN22"/>
    </sheetView>
  </sheetViews>
  <sheetFormatPr defaultColWidth="9.33203125" defaultRowHeight="16.2" x14ac:dyDescent="0.4"/>
  <cols>
    <col min="1" max="1" width="0.88671875" customWidth="1"/>
    <col min="2" max="2" width="19.33203125" customWidth="1"/>
    <col min="3" max="3" width="4.44140625" customWidth="1"/>
    <col min="4" max="10" width="22.33203125" customWidth="1"/>
    <col min="11" max="11" width="6.44140625" customWidth="1"/>
    <col min="12" max="12" width="24.44140625" style="4" customWidth="1"/>
    <col min="13" max="13" width="0.88671875" customWidth="1"/>
    <col min="14" max="14" width="2.33203125" style="38" customWidth="1"/>
    <col min="15" max="16" width="9.33203125" style="38" hidden="1" customWidth="1"/>
    <col min="17" max="17" width="10.44140625" style="38" hidden="1" customWidth="1"/>
    <col min="18" max="19" width="9.44140625" style="38" hidden="1" customWidth="1"/>
    <col min="20" max="20" width="13.44140625" style="38" hidden="1" customWidth="1"/>
    <col min="21" max="21" width="5.33203125" style="38" hidden="1" customWidth="1"/>
    <col min="22" max="22" width="13.44140625" style="38" hidden="1" customWidth="1"/>
    <col min="23" max="37" width="9.33203125" style="38" hidden="1" customWidth="1"/>
    <col min="38" max="38" width="9.33203125" style="38" customWidth="1"/>
    <col min="39" max="39" width="9.33203125" style="1" customWidth="1"/>
    <col min="40" max="40" width="9.33203125" style="2" customWidth="1"/>
    <col min="41" max="41" width="9.33203125" style="1" customWidth="1"/>
    <col min="42" max="16384" width="9.33203125" style="1"/>
  </cols>
  <sheetData>
    <row r="1" spans="2:37" customFormat="1" ht="14.25" customHeight="1" x14ac:dyDescent="0.4">
      <c r="L1" s="4"/>
      <c r="N1" s="38"/>
      <c r="O1" s="49" t="s">
        <v>39</v>
      </c>
      <c r="P1" s="49" t="s">
        <v>39</v>
      </c>
      <c r="Q1" s="49" t="s">
        <v>39</v>
      </c>
      <c r="R1" s="49" t="s">
        <v>39</v>
      </c>
      <c r="S1" s="49" t="s">
        <v>196</v>
      </c>
      <c r="T1" s="49"/>
      <c r="U1" s="49"/>
      <c r="V1" s="49"/>
      <c r="W1" s="49"/>
      <c r="X1" s="49"/>
      <c r="Y1" s="49"/>
      <c r="Z1" s="49"/>
      <c r="AA1" s="49"/>
      <c r="AB1" s="49"/>
      <c r="AC1" s="49"/>
      <c r="AD1" s="49"/>
      <c r="AE1" s="49"/>
      <c r="AF1" s="49"/>
      <c r="AG1" s="49"/>
      <c r="AH1" s="49"/>
      <c r="AI1" s="49"/>
      <c r="AJ1" s="49"/>
      <c r="AK1" s="49"/>
    </row>
    <row r="2" spans="2:37" customFormat="1" ht="51" customHeight="1" x14ac:dyDescent="0.5">
      <c r="B2" s="111"/>
      <c r="C2" s="15"/>
      <c r="D2" s="15"/>
      <c r="L2" s="4"/>
      <c r="N2" s="38"/>
      <c r="O2" s="49" t="str" cm="1">
        <f t="array" ref="O2:O16">_xlfn.TOCOL(_xlfn._xlws.FILTER(保单录入!P3:P2024,保单录入!A3:A2024=S6),3)</f>
        <v>萧远山</v>
      </c>
      <c r="P2" s="122" t="str" cm="1">
        <f t="array" ref="P2:P4">IFERROR(_xlfn.UNIQUE(_xlfn.TOCOL(_xlfn.ANCHORARRAY(O2),3)),"暂无信息")</f>
        <v>萧远山</v>
      </c>
      <c r="Q2" s="49" t="str" cm="1">
        <f t="array" ref="Q2:Q3">_xlfn._xlws.FILTER(_xlfn.ANCHORARRAY(P2),(_xlfn.ANCHORARRAY(P2)&lt;&gt;0)*(_xlfn.ANCHORARRAY(P2)&lt;&gt;B5),"")</f>
        <v>萧远山</v>
      </c>
      <c r="R2" s="49" t="str">
        <f>IFERROR(IF(Q2&lt;&gt;0,Q2,""),"暂无记录")</f>
        <v>萧远山</v>
      </c>
      <c r="S2" s="49" cm="1">
        <f t="array" ref="S2">MAX(SUMPRODUCT(--(P2:P16&lt;&gt;"")),1)</f>
        <v>3</v>
      </c>
      <c r="T2" s="25" t="s">
        <v>170</v>
      </c>
      <c r="U2" s="49"/>
      <c r="V2" s="49"/>
      <c r="W2" s="49"/>
      <c r="X2" s="49"/>
      <c r="Y2" s="49"/>
      <c r="Z2" s="49"/>
      <c r="AA2" s="49"/>
      <c r="AB2" s="49"/>
      <c r="AC2" s="49"/>
      <c r="AD2" s="49"/>
      <c r="AE2" s="49"/>
      <c r="AF2" s="49"/>
      <c r="AG2" s="49"/>
      <c r="AH2" s="49"/>
      <c r="AI2" s="49"/>
      <c r="AJ2" s="49"/>
      <c r="AK2" s="49"/>
    </row>
    <row r="3" spans="2:37" customFormat="1" ht="21" customHeight="1" x14ac:dyDescent="0.4">
      <c r="B3" s="151"/>
      <c r="L3" s="4"/>
      <c r="N3" s="38"/>
      <c r="O3" s="49" t="str">
        <v>萧峰</v>
      </c>
      <c r="P3" s="49" t="str">
        <v>萧峰</v>
      </c>
      <c r="Q3" s="49" t="str">
        <v>阿朱</v>
      </c>
      <c r="R3" s="49" t="str">
        <f>IF(Q3&lt;&gt;0,Q3,"")</f>
        <v>阿朱</v>
      </c>
      <c r="S3" s="49"/>
      <c r="T3" s="27">
        <f ca="1">SUM(V18:V29)</f>
        <v>5367020</v>
      </c>
      <c r="U3" s="49"/>
      <c r="V3" s="49"/>
      <c r="W3" s="49"/>
      <c r="X3" s="49"/>
      <c r="Y3" s="49"/>
      <c r="Z3" s="49"/>
      <c r="AA3" s="49"/>
      <c r="AB3" s="49"/>
      <c r="AC3" s="49"/>
      <c r="AD3" s="49"/>
      <c r="AE3" s="49"/>
      <c r="AF3" s="49"/>
      <c r="AG3" s="49"/>
      <c r="AH3" s="49"/>
      <c r="AI3" s="49"/>
      <c r="AJ3" s="49"/>
      <c r="AK3" s="49"/>
    </row>
    <row r="4" spans="2:37" customFormat="1" ht="25.2" customHeight="1" thickBot="1" x14ac:dyDescent="0.45">
      <c r="B4" s="152"/>
      <c r="D4" s="6"/>
      <c r="E4" s="6"/>
      <c r="F4" s="6"/>
      <c r="G4" s="6"/>
      <c r="H4" s="6"/>
      <c r="I4" s="6"/>
      <c r="J4" s="6"/>
      <c r="L4" s="7"/>
      <c r="M4" s="3"/>
      <c r="N4" s="32"/>
      <c r="O4" s="49" t="str">
        <v>萧峰</v>
      </c>
      <c r="P4" s="49" t="str">
        <v>阿朱</v>
      </c>
      <c r="Q4" s="49"/>
      <c r="R4" s="49" t="str">
        <f>IF(Q4&lt;&gt;0,Q4,"")</f>
        <v/>
      </c>
      <c r="S4" s="49"/>
      <c r="T4" s="25" t="s">
        <v>171</v>
      </c>
      <c r="U4" s="49"/>
      <c r="V4" s="49"/>
      <c r="W4" s="49"/>
      <c r="X4" s="49"/>
      <c r="Y4" s="49"/>
      <c r="Z4" s="49"/>
      <c r="AA4" s="49"/>
      <c r="AB4" s="49"/>
      <c r="AC4" s="49"/>
      <c r="AD4" s="49"/>
      <c r="AE4" s="49"/>
      <c r="AF4" s="49"/>
      <c r="AG4" s="49"/>
      <c r="AH4" s="49"/>
      <c r="AI4" s="49"/>
      <c r="AJ4" s="49"/>
      <c r="AK4" s="49"/>
    </row>
    <row r="5" spans="2:37" customFormat="1" ht="42.9" customHeight="1" thickBot="1" x14ac:dyDescent="0.45">
      <c r="B5" s="31" t="s">
        <v>194</v>
      </c>
      <c r="D5" s="10"/>
      <c r="E5" s="10"/>
      <c r="F5" s="10"/>
      <c r="G5" s="10"/>
      <c r="H5" s="10"/>
      <c r="I5" s="11"/>
      <c r="J5" s="11"/>
      <c r="L5" s="5"/>
      <c r="N5" s="38"/>
      <c r="O5" s="49" t="str">
        <v>萧峰</v>
      </c>
      <c r="P5" s="49"/>
      <c r="Q5" s="49"/>
      <c r="R5" s="49" t="str">
        <f>IF(Q5&lt;&gt;0,Q5,"")</f>
        <v/>
      </c>
      <c r="S5" s="50" t="s">
        <v>52</v>
      </c>
      <c r="T5" s="27">
        <f ca="1">T8+T11</f>
        <v>2367020</v>
      </c>
      <c r="U5" s="49"/>
      <c r="V5" s="49"/>
      <c r="W5" s="49"/>
      <c r="X5" s="49"/>
      <c r="Y5" s="49"/>
      <c r="Z5" s="49"/>
      <c r="AA5" s="49"/>
      <c r="AB5" s="49"/>
      <c r="AC5" s="49"/>
      <c r="AD5" s="49"/>
      <c r="AE5" s="49"/>
      <c r="AF5" s="49"/>
      <c r="AG5" s="49"/>
      <c r="AH5" s="49"/>
      <c r="AI5" s="49"/>
      <c r="AJ5" s="49"/>
      <c r="AK5" s="49"/>
    </row>
    <row r="6" spans="2:37" customFormat="1" ht="25.2" customHeight="1" x14ac:dyDescent="0.4">
      <c r="B6" s="30"/>
      <c r="D6" s="5"/>
      <c r="E6" s="5"/>
      <c r="F6" s="5"/>
      <c r="G6" s="5"/>
      <c r="H6" s="5"/>
      <c r="I6" s="5"/>
      <c r="J6" s="5"/>
      <c r="L6" s="5"/>
      <c r="N6" s="38"/>
      <c r="O6" s="49" t="str">
        <v>阿朱</v>
      </c>
      <c r="P6" s="49"/>
      <c r="Q6" s="49"/>
      <c r="R6" s="49" t="str">
        <f t="shared" ref="R6:R10" si="0">IF(Q6&lt;&gt;0,Q6,"")</f>
        <v/>
      </c>
      <c r="S6" s="50" t="str">
        <f>_xlfn.XLOOKUP(B5,保单录入!$P$3:$P$2024,保单录入!$A$3:$A$2024,_xlfn.XLOOKUP(B5,保单录入!$A$3:$A$2024,保单录入!$A$3:$A$2024,""))</f>
        <v>萧峰</v>
      </c>
      <c r="T6" s="25" t="s">
        <v>172</v>
      </c>
      <c r="U6" s="49"/>
      <c r="V6" s="49"/>
      <c r="W6" s="49"/>
      <c r="X6" s="49"/>
      <c r="Y6" s="49"/>
      <c r="Z6" s="49"/>
      <c r="AA6" s="49"/>
      <c r="AB6" s="49"/>
      <c r="AC6" s="49"/>
      <c r="AD6" s="49"/>
      <c r="AE6" s="49"/>
      <c r="AF6" s="49"/>
      <c r="AG6" s="49"/>
      <c r="AH6" s="49"/>
      <c r="AI6" s="49"/>
      <c r="AJ6" s="49"/>
      <c r="AK6" s="49"/>
    </row>
    <row r="7" spans="2:37" customFormat="1" ht="25.2" customHeight="1" x14ac:dyDescent="0.4">
      <c r="D7" s="5"/>
      <c r="E7" s="5"/>
      <c r="F7" s="5"/>
      <c r="G7" s="5"/>
      <c r="H7" s="5"/>
      <c r="I7" s="5"/>
      <c r="J7" s="5"/>
      <c r="L7" s="5"/>
      <c r="N7" s="38"/>
      <c r="O7" s="49" t="str">
        <v>阿朱</v>
      </c>
      <c r="P7" s="49"/>
      <c r="Q7" s="49"/>
      <c r="R7" s="49" t="str">
        <f t="shared" si="0"/>
        <v/>
      </c>
      <c r="S7" s="49"/>
      <c r="T7" s="25" t="s">
        <v>174</v>
      </c>
      <c r="U7" s="49"/>
      <c r="V7" s="49"/>
      <c r="W7" s="49"/>
      <c r="X7" s="49"/>
      <c r="Y7" s="49"/>
      <c r="Z7" s="49"/>
      <c r="AA7" s="49"/>
      <c r="AB7" s="49"/>
      <c r="AC7" s="49"/>
      <c r="AD7" s="49"/>
      <c r="AE7" s="49"/>
      <c r="AF7" s="49"/>
      <c r="AG7" s="49"/>
      <c r="AH7" s="49"/>
      <c r="AI7" s="49"/>
      <c r="AJ7" s="49"/>
      <c r="AK7" s="49"/>
    </row>
    <row r="8" spans="2:37" customFormat="1" ht="25.2" customHeight="1" x14ac:dyDescent="0.4">
      <c r="D8" s="5"/>
      <c r="E8" s="5"/>
      <c r="F8" s="5"/>
      <c r="G8" s="5"/>
      <c r="H8" s="5"/>
      <c r="I8" s="5"/>
      <c r="J8" s="5"/>
      <c r="L8" s="5"/>
      <c r="N8" s="38"/>
      <c r="O8" s="49" t="str">
        <v>萧远山</v>
      </c>
      <c r="P8" s="49"/>
      <c r="Q8" s="49"/>
      <c r="R8" s="49" t="str">
        <f t="shared" si="0"/>
        <v/>
      </c>
      <c r="S8" s="49"/>
      <c r="T8" s="27" cm="1">
        <f t="array" aca="1" ref="T8" ca="1">SUMPRODUCT(((保单录入!$A$3:$A$2024=家庭概览!$S$6)*(保单录入!$C$3:$C$2024&lt;&gt;"医疗险")*(保单录入!$C$3:$C$2024&lt;&gt;"意外伤害")*(保单录入!$C$3:$C$2024&lt;&gt;"意外医疗")*(保单录入!$C$3:$C$2024&lt;&gt;"其它")),保单录入!$AQ$3:$AQ$2024)</f>
        <v>2366000</v>
      </c>
      <c r="U8" s="49"/>
      <c r="V8" s="49"/>
      <c r="W8" s="49"/>
      <c r="X8" s="49"/>
      <c r="Y8" s="49"/>
      <c r="Z8" s="49"/>
      <c r="AA8" s="49"/>
      <c r="AB8" s="49"/>
      <c r="AC8" s="49"/>
      <c r="AD8" s="49"/>
      <c r="AE8" s="49"/>
      <c r="AF8" s="49"/>
      <c r="AG8" s="49"/>
      <c r="AH8" s="49"/>
      <c r="AI8" s="49"/>
      <c r="AJ8" s="49"/>
      <c r="AK8" s="49"/>
    </row>
    <row r="9" spans="2:37" customFormat="1" ht="25.2" customHeight="1" x14ac:dyDescent="0.4">
      <c r="D9" s="5"/>
      <c r="E9" s="5"/>
      <c r="F9" s="5"/>
      <c r="G9" s="5"/>
      <c r="H9" s="5"/>
      <c r="I9" s="5"/>
      <c r="J9" s="5"/>
      <c r="L9" s="5"/>
      <c r="N9" s="38"/>
      <c r="O9" s="49" t="str">
        <v>阿朱</v>
      </c>
      <c r="P9" s="49"/>
      <c r="Q9" s="49"/>
      <c r="R9" s="49" t="str">
        <f t="shared" si="0"/>
        <v/>
      </c>
      <c r="S9" s="49"/>
      <c r="T9" s="25" t="s">
        <v>173</v>
      </c>
      <c r="U9" s="49"/>
      <c r="V9" s="49"/>
      <c r="W9" s="49"/>
      <c r="X9" s="49"/>
      <c r="Y9" s="49"/>
      <c r="Z9" s="49"/>
      <c r="AA9" s="49"/>
      <c r="AB9" s="49"/>
      <c r="AC9" s="49"/>
      <c r="AD9" s="49"/>
      <c r="AE9" s="49"/>
      <c r="AF9" s="49"/>
      <c r="AG9" s="63" t="str">
        <f>"家庭投入本金总计"&amp;CHAR(10)&amp;TEXT(SUM(AG11:AG19),"###,#")</f>
        <v>家庭投入本金总计
18,500,000</v>
      </c>
      <c r="AH9" s="49"/>
      <c r="AI9" s="49"/>
      <c r="AJ9" s="49"/>
      <c r="AK9" s="49"/>
    </row>
    <row r="10" spans="2:37" customFormat="1" ht="25.2" customHeight="1" x14ac:dyDescent="0.4">
      <c r="D10" s="5"/>
      <c r="E10" s="5"/>
      <c r="F10" s="5"/>
      <c r="G10" s="5"/>
      <c r="H10" s="5"/>
      <c r="I10" s="5"/>
      <c r="J10" s="5"/>
      <c r="L10" s="5"/>
      <c r="N10" s="38"/>
      <c r="O10" s="49" t="str">
        <v>阿朱</v>
      </c>
      <c r="P10" s="49"/>
      <c r="Q10" s="49"/>
      <c r="R10" s="49" t="str">
        <f t="shared" si="0"/>
        <v/>
      </c>
      <c r="S10" s="49"/>
      <c r="T10" s="25" t="s">
        <v>175</v>
      </c>
      <c r="U10" s="49"/>
      <c r="V10" s="49"/>
      <c r="W10" s="51" t="s">
        <v>63</v>
      </c>
      <c r="X10" s="51" t="s">
        <v>46</v>
      </c>
      <c r="Y10" s="51" t="s">
        <v>45</v>
      </c>
      <c r="Z10" s="52" t="s">
        <v>63</v>
      </c>
      <c r="AA10" s="52" t="s">
        <v>48</v>
      </c>
      <c r="AB10" s="53" t="s">
        <v>63</v>
      </c>
      <c r="AC10" s="53" t="s">
        <v>159</v>
      </c>
      <c r="AD10" s="53" t="s">
        <v>158</v>
      </c>
      <c r="AE10" s="53" t="s">
        <v>160</v>
      </c>
      <c r="AF10" s="49" t="s">
        <v>178</v>
      </c>
      <c r="AG10" s="54" t="s">
        <v>65</v>
      </c>
      <c r="AH10" s="49"/>
      <c r="AI10" s="49"/>
      <c r="AJ10" s="53" t="s">
        <v>63</v>
      </c>
      <c r="AK10" s="53" t="s">
        <v>47</v>
      </c>
    </row>
    <row r="11" spans="2:37" customFormat="1" ht="25.2" customHeight="1" x14ac:dyDescent="0.4">
      <c r="D11" s="10"/>
      <c r="E11" s="10"/>
      <c r="F11" s="10"/>
      <c r="G11" s="10"/>
      <c r="H11" s="10"/>
      <c r="I11" s="11"/>
      <c r="J11" s="11"/>
      <c r="L11" s="5"/>
      <c r="N11" s="38"/>
      <c r="O11" s="49" t="str">
        <v>萧峰</v>
      </c>
      <c r="P11" s="49"/>
      <c r="Q11" s="49"/>
      <c r="R11" s="49"/>
      <c r="S11" s="49"/>
      <c r="T11" s="27" cm="1">
        <f t="array" aca="1" ref="T11" ca="1">SUMPRODUCT(((保单录入!$A$3:$A$2024=家庭概览!$S$6)*(保单录入!AG3:AG2024&lt;&gt;"已结束")*(保单录入!$C$3:$C$2024="医疗险")),保单录入!$F$3:$F$2024)+SUMPRODUCT(((保单录入!$A$3:$A$2024=家庭概览!$S$6)*(保单录入!AG3:AG2024&lt;&gt;"已结束")*(保单录入!$C$3:$C$2024="意外伤害")),保单录入!$F$3:$F$2024)+SUMPRODUCT(((保单录入!$A$3:$A$2024=家庭概览!$S$6)*(保单录入!AG3:AG2024&lt;&gt;"已结束")*(保单录入!$C$3:$C$2024="意外医疗")),保单录入!$F$3:$F$2024)+SUMPRODUCT(((保单录入!$A$3:$A$2024=家庭概览!$S$6)*(保单录入!AG3:AG2024&lt;&gt;"已结束")*(保单录入!$C$3:$C$2024="其它")),保单录入!$F$3:$F$2024)</f>
        <v>1020</v>
      </c>
      <c r="U11" s="49"/>
      <c r="V11" s="49"/>
      <c r="W11" s="51" t="str">
        <f>IF(AND(P2&lt;&gt;0,P2&lt;&gt;""),P2,"暂无信息")</f>
        <v>萧远山</v>
      </c>
      <c r="X11" s="51">
        <f>IFERROR(SUMIFS(保单录入!$E$3:$E$2024,保单录入!$C$3:$C$2024,"意外医疗",保单录入!$P$3:$P$2024,家庭概览!$W11),0)</f>
        <v>0</v>
      </c>
      <c r="Y11" s="51">
        <f>IFERROR(SUMIFS(保单录入!$E$3:$E$2024,保单录入!$C$3:$C$2024,"意外伤害",保单录入!$P$3:$P$2024,家庭概览!$W11),0)</f>
        <v>0</v>
      </c>
      <c r="Z11" s="52" t="str">
        <f>IF(AND(P2&lt;&gt;0,P2&lt;&gt;""),P2,"")</f>
        <v>萧远山</v>
      </c>
      <c r="AA11" s="52">
        <f>IFERROR(SUMIFS(保单录入!$E$3:$E$2024,保单录入!$C$3:$C$2024,"重疾险",保单录入!$P$3:$P$2024,家庭概览!$W11),0)</f>
        <v>0</v>
      </c>
      <c r="AB11" s="53" t="str">
        <f>IF(AND(P2&lt;&gt;0,P2&lt;&gt;""),P2,"")</f>
        <v>萧远山</v>
      </c>
      <c r="AC11" s="53">
        <f>IFERROR(SUMIFS(保单录入!$E$3:$E$2024,保单录入!$C$3:$C$2024,"终身寿险",保单录入!$P$3:$P$2024,家庭概览!$W11),0)</f>
        <v>10000000</v>
      </c>
      <c r="AD11" s="53">
        <f>IFERROR(SUMIFS(保单录入!$E$3:$E$2024,保单录入!$C$3:$C$2024,"定期寿险",保单录入!$P$3:$P$2024,家庭概览!$W11),0)</f>
        <v>0</v>
      </c>
      <c r="AE11" s="53">
        <f>IFERROR(IF(AD11&lt;&gt;0,AC11+AD11,0),0)</f>
        <v>0</v>
      </c>
      <c r="AF11" s="49" t="str">
        <f>IF(AG11&gt;0,W11,"")</f>
        <v>萧远山</v>
      </c>
      <c r="AG11" s="54">
        <f>IFERROR(SUMIFS(保单录入!$AL$3:$AL$2024,保单录入!$AL$3:$AL$2024,"&lt;&gt;不适用",保单录入!$P$3:$P$2024,家庭概览!$W11),0)</f>
        <v>1500000</v>
      </c>
      <c r="AH11" s="49" t="str" cm="1">
        <f t="array" aca="1" ref="AH11:AH13" ca="1">OFFSET($AF$11,,,SUMPRODUCT(($P$2:$P$8&lt;&gt;"")*1),1)</f>
        <v>萧远山</v>
      </c>
      <c r="AI11" s="49"/>
      <c r="AJ11" s="53" t="str">
        <f>IF(AND(P2&lt;&gt;0,P2&lt;&gt;""),P2,"")</f>
        <v>萧远山</v>
      </c>
      <c r="AK11" s="53">
        <f>IFERROR(SUMIFS(保单录入!$E$3:$E$2024,保单录入!$C$3:$C$2024,"医疗险",保单录入!$P$3:$P$2024,家庭概览!$W11),0)</f>
        <v>2000000</v>
      </c>
    </row>
    <row r="12" spans="2:37" customFormat="1" ht="25.2" customHeight="1" x14ac:dyDescent="0.4">
      <c r="D12" s="5"/>
      <c r="E12" s="5"/>
      <c r="F12" s="5"/>
      <c r="G12" s="5"/>
      <c r="H12" s="5"/>
      <c r="I12" s="5"/>
      <c r="J12" s="5"/>
      <c r="L12" s="5"/>
      <c r="N12" s="38"/>
      <c r="O12" s="49" t="str">
        <v>萧峰</v>
      </c>
      <c r="P12" s="49"/>
      <c r="Q12" s="49"/>
      <c r="R12" s="49"/>
      <c r="S12" s="49"/>
      <c r="T12" s="25" t="s">
        <v>176</v>
      </c>
      <c r="U12" s="49"/>
      <c r="V12" s="49"/>
      <c r="W12" s="51" t="str">
        <f>IF(AND(P3&lt;&gt;0,P3&lt;&gt;""),P3,"")</f>
        <v>萧峰</v>
      </c>
      <c r="X12" s="51">
        <f>IFERROR(SUMIFS(保单录入!$E$3:$E$2024,保单录入!$C$3:$C$2024,"意外医疗",保单录入!$P$3:$P$2024,家庭概览!$W12),0)</f>
        <v>30000</v>
      </c>
      <c r="Y12" s="51">
        <f>IFERROR(SUMIFS(保单录入!$E$3:$E$2024,保单录入!$C$3:$C$2024,"意外伤害",保单录入!$P$3:$P$2024,家庭概览!$W12),0)</f>
        <v>500000</v>
      </c>
      <c r="Z12" s="52" t="str">
        <f t="shared" ref="Z12:Z19" si="1">IF(AND(P3&lt;&gt;0,P3&lt;&gt;""),P3,"")</f>
        <v>萧峰</v>
      </c>
      <c r="AA12" s="52">
        <f>IFERROR(SUMIFS(保单录入!$E$3:$E$2024,保单录入!$C$3:$C$2024,"重疾险",保单录入!$P$3:$P$2024,家庭概览!$W12),0)</f>
        <v>1000000</v>
      </c>
      <c r="AB12" s="53" t="str">
        <f t="shared" ref="AB12:AB19" si="2">IF(AND(P3&lt;&gt;0,P3&lt;&gt;""),P3,"")</f>
        <v>萧峰</v>
      </c>
      <c r="AC12" s="53">
        <f>IFERROR(SUMIFS(保单录入!$E$3:$E$2024,保单录入!$C$3:$C$2024,"终身寿险",保单录入!$P$3:$P$2024,家庭概览!$W12),0)</f>
        <v>5000000</v>
      </c>
      <c r="AD12" s="53">
        <f>IFERROR(SUMIFS(保单录入!$E$3:$E$2024,保单录入!$C$3:$C$2024,"定期寿险",保单录入!$P$3:$P$2024,家庭概览!$W12),0)</f>
        <v>5000000</v>
      </c>
      <c r="AE12" s="53">
        <f t="shared" ref="AE12:AE19" si="3">IFERROR(IF(AD12&lt;&gt;0,AC12+AD12,0),0)</f>
        <v>10000000</v>
      </c>
      <c r="AF12" s="49" t="str">
        <f t="shared" ref="AF12:AF19" si="4">IF(AG12&gt;0,W12,"")</f>
        <v>萧峰</v>
      </c>
      <c r="AG12" s="54">
        <f>IFERROR(SUMIFS(保单录入!$AL$3:$AL$2024,保单录入!$AL$3:$AL$2024,"&lt;&gt;不适用",保单录入!$P$3:$P$2024,家庭概览!$W12),0)</f>
        <v>8000000</v>
      </c>
      <c r="AH12" s="49" t="str">
        <f ca="1"/>
        <v>萧峰</v>
      </c>
      <c r="AI12" s="49"/>
      <c r="AJ12" s="53" t="str">
        <f t="shared" ref="AJ12:AJ19" si="5">IF(AND(P3&lt;&gt;0,P3&lt;&gt;""),P3,"")</f>
        <v>萧峰</v>
      </c>
      <c r="AK12" s="53">
        <f>IFERROR(SUMIFS(保单录入!$E$3:$E$2024,保单录入!$C$3:$C$2024,"医疗险",保单录入!$P$3:$P$2024,家庭概览!$W12),0)</f>
        <v>2000000</v>
      </c>
    </row>
    <row r="13" spans="2:37" customFormat="1" ht="25.2" customHeight="1" x14ac:dyDescent="0.4">
      <c r="D13" s="5"/>
      <c r="E13" s="5"/>
      <c r="F13" s="5"/>
      <c r="G13" s="5"/>
      <c r="H13" s="5"/>
      <c r="I13" s="5"/>
      <c r="J13" s="5"/>
      <c r="L13" s="5"/>
      <c r="N13" s="38"/>
      <c r="O13" s="49" t="str">
        <v>萧峰</v>
      </c>
      <c r="P13" s="49"/>
      <c r="Q13" s="49"/>
      <c r="R13" s="49"/>
      <c r="S13" s="49"/>
      <c r="T13" s="28">
        <f ca="1">TODAY()</f>
        <v>45964</v>
      </c>
      <c r="U13" s="49"/>
      <c r="V13" s="49"/>
      <c r="W13" s="51" t="str">
        <f>IF(AND(P4&lt;&gt;0,P4&lt;&gt;""),P4,"")</f>
        <v>阿朱</v>
      </c>
      <c r="X13" s="51">
        <f>IFERROR(SUMIFS(保单录入!$E$3:$E$2024,保单录入!$C$3:$C$2024,"意外医疗",保单录入!$P$3:$P$2024,家庭概览!$W13),0)</f>
        <v>30000</v>
      </c>
      <c r="Y13" s="51">
        <f>IFERROR(SUMIFS(保单录入!$E$3:$E$2024,保单录入!$C$3:$C$2024,"意外伤害",保单录入!$P$3:$P$2024,家庭概览!$W13),0)</f>
        <v>500000</v>
      </c>
      <c r="Z13" s="52" t="str">
        <f t="shared" si="1"/>
        <v>阿朱</v>
      </c>
      <c r="AA13" s="52">
        <f>IFERROR(SUMIFS(保单录入!$E$3:$E$2024,保单录入!$C$3:$C$2024,"重疾险",保单录入!$P$3:$P$2024,家庭概览!$W13),0)</f>
        <v>800000</v>
      </c>
      <c r="AB13" s="53" t="str">
        <f t="shared" si="2"/>
        <v>阿朱</v>
      </c>
      <c r="AC13" s="53">
        <f>IFERROR(SUMIFS(保单录入!$E$3:$E$2024,保单录入!$C$3:$C$2024,"终身寿险",保单录入!$P$3:$P$2024,家庭概览!$W13),0)</f>
        <v>0</v>
      </c>
      <c r="AD13" s="53">
        <f>IFERROR(SUMIFS(保单录入!$E$3:$E$2024,保单录入!$C$3:$C$2024,"定期寿险",保单录入!$P$3:$P$2024,家庭概览!$W13),0)</f>
        <v>0</v>
      </c>
      <c r="AE13" s="53">
        <f t="shared" si="3"/>
        <v>0</v>
      </c>
      <c r="AF13" s="49" t="str">
        <f>IF(AG13&gt;0,W13,"")</f>
        <v>阿朱</v>
      </c>
      <c r="AG13" s="54">
        <f>IFERROR(SUMIFS(保单录入!$AL$3:$AL$2024,保单录入!$AL$3:$AL$2024,"&lt;&gt;不适用",保单录入!$P$3:$P$2024,家庭概览!$W13),0)</f>
        <v>9000000</v>
      </c>
      <c r="AH13" s="49" t="str">
        <f ca="1"/>
        <v>阿朱</v>
      </c>
      <c r="AI13" s="49"/>
      <c r="AJ13" s="53" t="str">
        <f t="shared" si="5"/>
        <v>阿朱</v>
      </c>
      <c r="AK13" s="53">
        <f>IFERROR(SUMIFS(保单录入!$E$3:$E$2024,保单录入!$C$3:$C$2024,"医疗险",保单录入!$P$3:$P$2024,家庭概览!$W13),0)</f>
        <v>0</v>
      </c>
    </row>
    <row r="14" spans="2:37" customFormat="1" ht="25.2" customHeight="1" x14ac:dyDescent="0.4">
      <c r="D14" s="5"/>
      <c r="E14" s="5"/>
      <c r="F14" s="5"/>
      <c r="G14" s="5"/>
      <c r="H14" s="5"/>
      <c r="I14" s="5"/>
      <c r="J14" s="5"/>
      <c r="L14" s="5"/>
      <c r="N14" s="38"/>
      <c r="O14" s="49" t="str">
        <v>萧远山</v>
      </c>
      <c r="P14" s="49"/>
      <c r="Q14" s="49"/>
      <c r="R14" s="49"/>
      <c r="S14" s="49"/>
      <c r="T14" s="49"/>
      <c r="U14" s="49"/>
      <c r="V14" s="49"/>
      <c r="W14" s="51" t="str">
        <f t="shared" ref="W14:W19" si="6">IF(AND(P5&lt;&gt;0,P5&lt;&gt;""),P5,"")</f>
        <v/>
      </c>
      <c r="X14" s="51">
        <f>IFERROR(SUMIFS(保单录入!$E$3:$E$2024,保单录入!$C$3:$C$2024,"意外医疗",保单录入!$P$3:$P$2024,家庭概览!$W14),0)</f>
        <v>0</v>
      </c>
      <c r="Y14" s="51">
        <f>IFERROR(SUMIFS(保单录入!$E$3:$E$2024,保单录入!$C$3:$C$2024,"意外伤害",保单录入!$P$3:$P$2024,家庭概览!$W14),0)</f>
        <v>0</v>
      </c>
      <c r="Z14" s="52" t="str">
        <f t="shared" si="1"/>
        <v/>
      </c>
      <c r="AA14" s="52">
        <f>IFERROR(SUMIFS(保单录入!$E$3:$E$2024,保单录入!$C$3:$C$2024,"重疾险",保单录入!$P$3:$P$2024,家庭概览!$W14),0)</f>
        <v>0</v>
      </c>
      <c r="AB14" s="53" t="str">
        <f t="shared" si="2"/>
        <v/>
      </c>
      <c r="AC14" s="53">
        <f>IFERROR(SUMIFS(保单录入!$E$3:$E$2024,保单录入!$C$3:$C$2024,"终身寿险",保单录入!$P$3:$P$2024,家庭概览!$W14),0)</f>
        <v>0</v>
      </c>
      <c r="AD14" s="53">
        <f>IFERROR(SUMIFS(保单录入!$E$3:$E$2024,保单录入!$C$3:$C$2024,"定期寿险",保单录入!$P$3:$P$2024,家庭概览!$W14),0)</f>
        <v>0</v>
      </c>
      <c r="AE14" s="53">
        <f t="shared" si="3"/>
        <v>0</v>
      </c>
      <c r="AF14" s="49" t="str">
        <f t="shared" si="4"/>
        <v/>
      </c>
      <c r="AG14" s="54">
        <f>IFERROR(SUMIFS(保单录入!$AL$3:$AL$2024,保单录入!$AL$3:$AL$2024,"&lt;&gt;不适用",保单录入!$P$3:$P$2024,家庭概览!$W14),0)</f>
        <v>0</v>
      </c>
      <c r="AH14" s="49"/>
      <c r="AI14" s="49"/>
      <c r="AJ14" s="53" t="str">
        <f t="shared" si="5"/>
        <v/>
      </c>
      <c r="AK14" s="53">
        <f>IFERROR(SUMIFS(保单录入!$E$3:$E$2024,保单录入!$C$3:$C$2024,"医疗险",保单录入!$P$3:$P$2024,家庭概览!$W14),0)</f>
        <v>0</v>
      </c>
    </row>
    <row r="15" spans="2:37" customFormat="1" ht="23.85" customHeight="1" x14ac:dyDescent="0.4">
      <c r="C15" t="str">
        <f t="shared" ref="C15:C32" si="7">IF(D15&lt;&gt;"",C14+1,"")</f>
        <v/>
      </c>
      <c r="D15" s="5"/>
      <c r="E15" s="5"/>
      <c r="F15" s="5"/>
      <c r="G15" s="5"/>
      <c r="H15" s="5"/>
      <c r="I15" s="5"/>
      <c r="J15" s="5"/>
      <c r="L15" s="5"/>
      <c r="N15" s="38"/>
      <c r="O15" s="49" t="str">
        <v>萧峰</v>
      </c>
      <c r="P15" s="49"/>
      <c r="Q15" s="49"/>
      <c r="R15" s="49"/>
      <c r="S15" s="49"/>
      <c r="T15" s="49"/>
      <c r="U15" s="49"/>
      <c r="V15" s="49"/>
      <c r="W15" s="51" t="str">
        <f t="shared" si="6"/>
        <v/>
      </c>
      <c r="X15" s="51">
        <f>IFERROR(SUMIFS(保单录入!$E$3:$E$2024,保单录入!$C$3:$C$2024,"意外医疗",保单录入!$P$3:$P$2024,家庭概览!$W15),0)</f>
        <v>0</v>
      </c>
      <c r="Y15" s="51">
        <f>IFERROR(SUMIFS(保单录入!$E$3:$E$2024,保单录入!$C$3:$C$2024,"意外伤害",保单录入!$P$3:$P$2024,家庭概览!$W15),0)</f>
        <v>0</v>
      </c>
      <c r="Z15" s="52" t="str">
        <f t="shared" si="1"/>
        <v/>
      </c>
      <c r="AA15" s="52">
        <f>IFERROR(SUMIFS(保单录入!$E$3:$E$2024,保单录入!$C$3:$C$2024,"重疾险",保单录入!$P$3:$P$2024,家庭概览!$W15),0)</f>
        <v>0</v>
      </c>
      <c r="AB15" s="53" t="str">
        <f t="shared" si="2"/>
        <v/>
      </c>
      <c r="AC15" s="53">
        <f>IFERROR(SUMIFS(保单录入!$E$3:$E$2024,保单录入!$C$3:$C$2024,"终身寿险",保单录入!$P$3:$P$2024,家庭概览!$W15),0)</f>
        <v>0</v>
      </c>
      <c r="AD15" s="53">
        <f>IFERROR(SUMIFS(保单录入!$E$3:$E$2024,保单录入!$C$3:$C$2024,"定期寿险",保单录入!$P$3:$P$2024,家庭概览!$W15),0)</f>
        <v>0</v>
      </c>
      <c r="AE15" s="53">
        <f t="shared" si="3"/>
        <v>0</v>
      </c>
      <c r="AF15" s="49" t="str">
        <f t="shared" si="4"/>
        <v/>
      </c>
      <c r="AG15" s="54">
        <f>IFERROR(SUMIFS(保单录入!$AL$3:$AL$2024,保单录入!$AL$3:$AL$2024,"&lt;&gt;不适用",保单录入!$P$3:$P$2024,家庭概览!$W15),0)</f>
        <v>0</v>
      </c>
      <c r="AH15" s="49"/>
      <c r="AI15" s="49"/>
      <c r="AJ15" s="53" t="str">
        <f t="shared" si="5"/>
        <v/>
      </c>
      <c r="AK15" s="53">
        <f>IFERROR(SUMIFS(保单录入!$E$3:$E$2024,保单录入!$C$3:$C$2024,"医疗险",保单录入!$P$3:$P$2024,家庭概览!$W15),0)</f>
        <v>0</v>
      </c>
    </row>
    <row r="16" spans="2:37" customFormat="1" ht="25.2" customHeight="1" x14ac:dyDescent="0.4">
      <c r="C16" t="str">
        <f t="shared" si="7"/>
        <v/>
      </c>
      <c r="D16" s="5"/>
      <c r="E16" s="5"/>
      <c r="F16" s="5"/>
      <c r="G16" s="5"/>
      <c r="H16" s="5"/>
      <c r="I16" s="5"/>
      <c r="J16" s="5"/>
      <c r="L16" s="5"/>
      <c r="N16" s="38"/>
      <c r="O16" s="49" t="str">
        <v>萧峰</v>
      </c>
      <c r="P16" s="49"/>
      <c r="Q16" s="49"/>
      <c r="R16" s="49"/>
      <c r="S16" s="49"/>
      <c r="T16" s="49"/>
      <c r="U16" s="49"/>
      <c r="V16" s="49"/>
      <c r="W16" s="51" t="str">
        <f t="shared" si="6"/>
        <v/>
      </c>
      <c r="X16" s="51">
        <f>IFERROR(SUMIFS(保单录入!$E$3:$E$2024,保单录入!$C$3:$C$2024,"意外医疗",保单录入!$P$3:$P$2024,家庭概览!$W16),0)</f>
        <v>0</v>
      </c>
      <c r="Y16" s="51">
        <f>IFERROR(SUMIFS(保单录入!$E$3:$E$2024,保单录入!$C$3:$C$2024,"意外伤害",保单录入!$P$3:$P$2024,家庭概览!$W16),0)</f>
        <v>0</v>
      </c>
      <c r="Z16" s="52" t="str">
        <f t="shared" si="1"/>
        <v/>
      </c>
      <c r="AA16" s="52">
        <f>IFERROR(SUMIFS(保单录入!$E$3:$E$2024,保单录入!$C$3:$C$2024,"重疾险",保单录入!$P$3:$P$2024,家庭概览!$W16),0)</f>
        <v>0</v>
      </c>
      <c r="AB16" s="53" t="str">
        <f t="shared" si="2"/>
        <v/>
      </c>
      <c r="AC16" s="53">
        <f>IFERROR(SUMIFS(保单录入!$E$3:$E$2024,保单录入!$C$3:$C$2024,"终身寿险",保单录入!$P$3:$P$2024,家庭概览!$W16),0)</f>
        <v>0</v>
      </c>
      <c r="AD16" s="53">
        <f>IFERROR(SUMIFS(保单录入!$E$3:$E$2024,保单录入!$C$3:$C$2024,"定期寿险",保单录入!$P$3:$P$2024,家庭概览!$W16),0)</f>
        <v>0</v>
      </c>
      <c r="AE16" s="53">
        <f t="shared" si="3"/>
        <v>0</v>
      </c>
      <c r="AF16" s="49" t="str">
        <f t="shared" si="4"/>
        <v/>
      </c>
      <c r="AG16" s="54">
        <f>IFERROR(SUMIFS(保单录入!$AL$3:$AL$2024,保单录入!$AL$3:$AL$2024,"&lt;&gt;不适用",保单录入!$P$3:$P$2024,家庭概览!$W16),0)</f>
        <v>0</v>
      </c>
      <c r="AH16" s="49"/>
      <c r="AI16" s="49"/>
      <c r="AJ16" s="53" t="str">
        <f t="shared" si="5"/>
        <v/>
      </c>
      <c r="AK16" s="53">
        <f>IFERROR(SUMIFS(保单录入!$E$3:$E$2024,保单录入!$C$3:$C$2024,"医疗险",保单录入!$P$3:$P$2024,家庭概览!$W16),0)</f>
        <v>0</v>
      </c>
    </row>
    <row r="17" spans="2:37" customFormat="1" ht="25.2" customHeight="1" x14ac:dyDescent="0.4">
      <c r="C17" t="str">
        <f t="shared" si="7"/>
        <v/>
      </c>
      <c r="D17" s="10"/>
      <c r="E17" s="10"/>
      <c r="F17" s="10"/>
      <c r="G17" s="10"/>
      <c r="H17" s="10"/>
      <c r="I17" s="11"/>
      <c r="J17" s="11"/>
      <c r="L17" s="5"/>
      <c r="N17" s="38"/>
      <c r="O17" s="49"/>
      <c r="P17" s="49"/>
      <c r="Q17" s="49"/>
      <c r="R17" s="49"/>
      <c r="S17" s="49"/>
      <c r="T17" s="49"/>
      <c r="U17" s="49"/>
      <c r="V17" s="49"/>
      <c r="W17" s="51" t="str">
        <f t="shared" si="6"/>
        <v/>
      </c>
      <c r="X17" s="51">
        <f>IFERROR(SUMIFS(保单录入!$E$3:$E$2024,保单录入!$C$3:$C$2024,"意外医疗",保单录入!$P$3:$P$2024,家庭概览!$W17),0)</f>
        <v>0</v>
      </c>
      <c r="Y17" s="51">
        <f>IFERROR(SUMIFS(保单录入!$E$3:$E$2024,保单录入!$C$3:$C$2024,"意外伤害",保单录入!$P$3:$P$2024,家庭概览!$W17),0)</f>
        <v>0</v>
      </c>
      <c r="Z17" s="52" t="str">
        <f t="shared" si="1"/>
        <v/>
      </c>
      <c r="AA17" s="52">
        <f>IFERROR(SUMIFS(保单录入!$E$3:$E$2024,保单录入!$C$3:$C$2024,"重疾险",保单录入!$P$3:$P$2024,家庭概览!$W17),0)</f>
        <v>0</v>
      </c>
      <c r="AB17" s="53" t="str">
        <f t="shared" si="2"/>
        <v/>
      </c>
      <c r="AC17" s="53">
        <f>IFERROR(SUMIFS(保单录入!$E$3:$E$2024,保单录入!$C$3:$C$2024,"终身寿险",保单录入!$P$3:$P$2024,家庭概览!$W17),0)</f>
        <v>0</v>
      </c>
      <c r="AD17" s="53">
        <f>IFERROR(SUMIFS(保单录入!$E$3:$E$2024,保单录入!$C$3:$C$2024,"定期寿险",保单录入!$P$3:$P$2024,家庭概览!$W17),0)</f>
        <v>0</v>
      </c>
      <c r="AE17" s="53">
        <f t="shared" si="3"/>
        <v>0</v>
      </c>
      <c r="AF17" s="49" t="str">
        <f t="shared" si="4"/>
        <v/>
      </c>
      <c r="AG17" s="54">
        <f>IFERROR(SUMIFS(保单录入!$AL$3:$AL$2024,保单录入!$AL$3:$AL$2024,"&lt;&gt;不适用",保单录入!$P$3:$P$2024,家庭概览!$W17),0)</f>
        <v>0</v>
      </c>
      <c r="AH17" s="49"/>
      <c r="AI17" s="49"/>
      <c r="AJ17" s="53" t="str">
        <f t="shared" si="5"/>
        <v/>
      </c>
      <c r="AK17" s="53">
        <f>IFERROR(SUMIFS(保单录入!$E$3:$E$2024,保单录入!$C$3:$C$2024,"医疗险",保单录入!$P$3:$P$2024,家庭概览!$W17),0)</f>
        <v>0</v>
      </c>
    </row>
    <row r="18" spans="2:37" customFormat="1" ht="25.2" customHeight="1" x14ac:dyDescent="0.4">
      <c r="C18" t="str">
        <f t="shared" si="7"/>
        <v/>
      </c>
      <c r="D18" s="5"/>
      <c r="E18" s="5"/>
      <c r="F18" s="5"/>
      <c r="G18" s="5"/>
      <c r="H18" s="5"/>
      <c r="I18" s="5"/>
      <c r="J18" s="5"/>
      <c r="L18" s="5"/>
      <c r="N18" s="38"/>
      <c r="O18" s="49"/>
      <c r="P18" s="49"/>
      <c r="Q18" s="55" cm="1">
        <f t="array" aca="1" ref="Q18:R28" ca="1">_xlfn._xlws.FILTER(_xlfn.HSTACK(保单录入!$AK$3:$AK$2024,保单录入!$F$3:$F$2024),(保单录入!$AK$3:$AK$2024&lt;&gt;"不适用")*(保单录入!$A$3:$A$2024=$S$6),DATE(1990,1,1))</f>
        <v>45901</v>
      </c>
      <c r="R18" s="49">
        <f ca="1"/>
        <v>300</v>
      </c>
      <c r="S18" s="49">
        <f ca="1">MONTH(Q18)</f>
        <v>9</v>
      </c>
      <c r="T18" s="56">
        <f ca="1">SUMIF($S$18:$S$100,"=1",$R$18:$R$100)</f>
        <v>230000</v>
      </c>
      <c r="U18" s="52" t="s">
        <v>53</v>
      </c>
      <c r="V18" s="52">
        <f ca="1">IF(T18=0,"",T18)</f>
        <v>230000</v>
      </c>
      <c r="W18" s="51" t="str">
        <f t="shared" si="6"/>
        <v/>
      </c>
      <c r="X18" s="51">
        <f>IFERROR(SUMIFS(保单录入!$E$3:$E$2024,保单录入!$C$3:$C$2024,"意外医疗",保单录入!$P$3:$P$2024,家庭概览!$W18),0)</f>
        <v>0</v>
      </c>
      <c r="Y18" s="51">
        <f>IFERROR(SUMIFS(保单录入!$E$3:$E$2024,保单录入!$C$3:$C$2024,"意外伤害",保单录入!$P$3:$P$2024,家庭概览!$W18),0)</f>
        <v>0</v>
      </c>
      <c r="Z18" s="52" t="str">
        <f t="shared" si="1"/>
        <v/>
      </c>
      <c r="AA18" s="52">
        <f>IFERROR(SUMIFS(保单录入!$E$3:$E$2024,保单录入!$C$3:$C$2024,"重疾险",保单录入!$P$3:$P$2024,家庭概览!$W18),0)</f>
        <v>0</v>
      </c>
      <c r="AB18" s="53" t="str">
        <f t="shared" si="2"/>
        <v/>
      </c>
      <c r="AC18" s="53">
        <f>IFERROR(SUMIFS(保单录入!$E$3:$E$2024,保单录入!$C$3:$C$2024,"终身寿险",保单录入!$P$3:$P$2024,家庭概览!$W18),0)</f>
        <v>0</v>
      </c>
      <c r="AD18" s="53">
        <f>IFERROR(SUMIFS(保单录入!$E$3:$E$2024,保单录入!$C$3:$C$2024,"定期寿险",保单录入!$P$3:$P$2024,家庭概览!$W18),0)</f>
        <v>0</v>
      </c>
      <c r="AE18" s="53">
        <f t="shared" si="3"/>
        <v>0</v>
      </c>
      <c r="AF18" s="49" t="str">
        <f t="shared" si="4"/>
        <v/>
      </c>
      <c r="AG18" s="54">
        <f>IFERROR(SUMIFS(保单录入!$AL$3:$AL$2024,保单录入!$AL$3:$AL$2024,"&lt;&gt;不适用",保单录入!$P$3:$P$2024,家庭概览!$W18),0)</f>
        <v>0</v>
      </c>
      <c r="AH18" s="49"/>
      <c r="AI18" s="49"/>
      <c r="AJ18" s="53" t="str">
        <f t="shared" si="5"/>
        <v/>
      </c>
      <c r="AK18" s="53">
        <f>IFERROR(SUMIFS(保单录入!$E$3:$E$2024,保单录入!$C$3:$C$2024,"医疗险",保单录入!$P$3:$P$2024,家庭概览!$W18),0)</f>
        <v>0</v>
      </c>
    </row>
    <row r="19" spans="2:37" customFormat="1" ht="25.2" customHeight="1" x14ac:dyDescent="0.4">
      <c r="B19" s="26"/>
      <c r="C19" t="str">
        <f t="shared" si="7"/>
        <v/>
      </c>
      <c r="D19" s="5"/>
      <c r="E19" s="5"/>
      <c r="F19" s="5"/>
      <c r="G19" s="5"/>
      <c r="H19" s="5"/>
      <c r="I19" s="5"/>
      <c r="J19" s="5"/>
      <c r="L19" s="5"/>
      <c r="N19" s="38"/>
      <c r="O19" s="49"/>
      <c r="P19" s="49"/>
      <c r="Q19" s="55">
        <f ca="1"/>
        <v>45910</v>
      </c>
      <c r="R19" s="49">
        <f ca="1"/>
        <v>1000000</v>
      </c>
      <c r="S19" s="49">
        <f ca="1">MONTH(Q19)</f>
        <v>9</v>
      </c>
      <c r="T19" s="56">
        <f ca="1">SUMIF($S$18:$S$100,"=2",$R$18:$R$100)</f>
        <v>0</v>
      </c>
      <c r="U19" s="52" t="s">
        <v>54</v>
      </c>
      <c r="V19" s="52" t="str">
        <f ca="1">IF(T19=0,"",T19)</f>
        <v/>
      </c>
      <c r="W19" s="51" t="str">
        <f t="shared" si="6"/>
        <v/>
      </c>
      <c r="X19" s="51">
        <f>IFERROR(SUMIFS(保单录入!$E$3:$E$2024,保单录入!$C$3:$C$2024,"意外医疗",保单录入!$P$3:$P$2024,家庭概览!$W19),0)</f>
        <v>0</v>
      </c>
      <c r="Y19" s="51">
        <f>IFERROR(SUMIFS(保单录入!$E$3:$E$2024,保单录入!$C$3:$C$2024,"意外伤害",保单录入!$P$3:$P$2024,家庭概览!$W19),0)</f>
        <v>0</v>
      </c>
      <c r="Z19" s="52" t="str">
        <f t="shared" si="1"/>
        <v/>
      </c>
      <c r="AA19" s="52">
        <f>IFERROR(SUMIFS(保单录入!$E$3:$E$2024,保单录入!$C$3:$C$2024,"重疾险",保单录入!$P$3:$P$2024,家庭概览!$W19),0)</f>
        <v>0</v>
      </c>
      <c r="AB19" s="53" t="str">
        <f t="shared" si="2"/>
        <v/>
      </c>
      <c r="AC19" s="53">
        <f>IFERROR(SUMIFS(保单录入!$E$3:$E$2024,保单录入!$C$3:$C$2024,"终身寿险",保单录入!$P$3:$P$2024,家庭概览!$W19),0)</f>
        <v>0</v>
      </c>
      <c r="AD19" s="53">
        <f>IFERROR(SUMIFS(保单录入!$E$3:$E$2024,保单录入!$C$3:$C$2024,"定期寿险",保单录入!$P$3:$P$2024,家庭概览!$W19),0)</f>
        <v>0</v>
      </c>
      <c r="AE19" s="53">
        <f t="shared" si="3"/>
        <v>0</v>
      </c>
      <c r="AF19" s="49" t="str">
        <f t="shared" si="4"/>
        <v/>
      </c>
      <c r="AG19" s="54">
        <f>IFERROR(SUMIFS(保单录入!$AL$3:$AL$2024,保单录入!$AL$3:$AL$2024,"&lt;&gt;不适用",保单录入!$P$3:$P$2024,家庭概览!$W19),0)</f>
        <v>0</v>
      </c>
      <c r="AH19" s="49"/>
      <c r="AI19" s="49"/>
      <c r="AJ19" s="53" t="str">
        <f t="shared" si="5"/>
        <v/>
      </c>
      <c r="AK19" s="53">
        <f>IFERROR(SUMIFS(保单录入!$E$3:$E$2024,保单录入!$C$3:$C$2024,"医疗险",保单录入!$P$3:$P$2024,家庭概览!$W19),0)</f>
        <v>0</v>
      </c>
    </row>
    <row r="20" spans="2:37" customFormat="1" ht="25.2" customHeight="1" x14ac:dyDescent="0.4">
      <c r="B20" s="26"/>
      <c r="C20" t="str">
        <f t="shared" si="7"/>
        <v/>
      </c>
      <c r="D20" s="5"/>
      <c r="E20" s="5"/>
      <c r="F20" s="5"/>
      <c r="G20" s="5"/>
      <c r="H20" s="5"/>
      <c r="I20" s="5"/>
      <c r="J20" s="5"/>
      <c r="L20" s="5"/>
      <c r="N20" s="38"/>
      <c r="O20" s="49"/>
      <c r="P20" s="49"/>
      <c r="Q20" s="55">
        <f ca="1"/>
        <v>45929</v>
      </c>
      <c r="R20" s="49">
        <f ca="1"/>
        <v>30000</v>
      </c>
      <c r="S20" s="49">
        <f t="shared" ref="S20:S82" ca="1" si="8">MONTH(Q20)</f>
        <v>9</v>
      </c>
      <c r="T20" s="56">
        <f ca="1">SUMIF($S$18:$S$100,"=3",$R$18:$R$100)</f>
        <v>0</v>
      </c>
      <c r="U20" s="52" t="s">
        <v>55</v>
      </c>
      <c r="V20" s="52" t="str">
        <f ca="1">IF(T20=0,"",T20)</f>
        <v/>
      </c>
      <c r="W20" s="49"/>
      <c r="X20" s="49"/>
      <c r="Y20" s="49"/>
      <c r="Z20" s="49"/>
      <c r="AA20" s="49"/>
      <c r="AB20" s="49"/>
      <c r="AC20" s="49"/>
      <c r="AD20" s="49"/>
      <c r="AE20" s="49"/>
      <c r="AF20" s="49"/>
      <c r="AG20" s="49"/>
      <c r="AH20" s="49"/>
      <c r="AI20" s="49"/>
      <c r="AJ20" s="49"/>
      <c r="AK20" s="49"/>
    </row>
    <row r="21" spans="2:37" customFormat="1" ht="25.2" customHeight="1" x14ac:dyDescent="0.4">
      <c r="B21" s="26"/>
      <c r="C21" t="str">
        <f t="shared" si="7"/>
        <v/>
      </c>
      <c r="D21" s="5"/>
      <c r="E21" s="5"/>
      <c r="F21" s="5"/>
      <c r="G21" s="5"/>
      <c r="H21" s="5"/>
      <c r="I21" s="5"/>
      <c r="J21" s="5"/>
      <c r="L21" s="5"/>
      <c r="N21" s="38"/>
      <c r="O21" s="49"/>
      <c r="P21" s="49"/>
      <c r="Q21" s="55">
        <f ca="1"/>
        <v>45868</v>
      </c>
      <c r="R21" s="49">
        <f ca="1"/>
        <v>360</v>
      </c>
      <c r="S21" s="49">
        <f t="shared" ca="1" si="8"/>
        <v>7</v>
      </c>
      <c r="T21" s="56">
        <f ca="1">SUMIF($S$18:$S$100,"=4",$R$18:$R$100)</f>
        <v>0</v>
      </c>
      <c r="U21" s="52" t="s">
        <v>56</v>
      </c>
      <c r="V21" s="52" t="str">
        <f t="shared" ref="V21:V29" ca="1" si="9">IF(T21=0,"",T21)</f>
        <v/>
      </c>
      <c r="W21" s="49"/>
      <c r="X21" s="49"/>
      <c r="Y21" s="49"/>
      <c r="Z21" s="49"/>
      <c r="AA21" s="49"/>
      <c r="AB21" s="49"/>
      <c r="AC21" s="49"/>
      <c r="AD21" s="49"/>
      <c r="AE21" s="49"/>
      <c r="AF21" s="49"/>
      <c r="AG21" s="49"/>
      <c r="AH21" s="49"/>
      <c r="AI21" s="49"/>
      <c r="AJ21" s="49"/>
      <c r="AK21" s="49"/>
    </row>
    <row r="22" spans="2:37" customFormat="1" ht="25.2" customHeight="1" x14ac:dyDescent="0.4">
      <c r="C22" t="str">
        <f t="shared" si="7"/>
        <v/>
      </c>
      <c r="D22" s="5"/>
      <c r="E22" s="5"/>
      <c r="F22" s="5"/>
      <c r="G22" s="5"/>
      <c r="H22" s="5"/>
      <c r="I22" s="5"/>
      <c r="J22" s="5"/>
      <c r="L22" s="5"/>
      <c r="N22" s="38"/>
      <c r="O22" s="49"/>
      <c r="P22" s="49"/>
      <c r="Q22" s="55">
        <f ca="1"/>
        <v>45688</v>
      </c>
      <c r="R22" s="49">
        <f ca="1"/>
        <v>200000</v>
      </c>
      <c r="S22" s="49">
        <f t="shared" ca="1" si="8"/>
        <v>1</v>
      </c>
      <c r="T22" s="56">
        <f ca="1">SUMIF($S$18:$S$100,"=5",$R$18:$R$100)</f>
        <v>0</v>
      </c>
      <c r="U22" s="52" t="s">
        <v>57</v>
      </c>
      <c r="V22" s="52" t="str">
        <f t="shared" ca="1" si="9"/>
        <v/>
      </c>
      <c r="W22" s="49"/>
      <c r="X22" s="49"/>
      <c r="Y22" s="38"/>
      <c r="Z22" s="38"/>
      <c r="AA22" s="38"/>
      <c r="AB22" s="38"/>
      <c r="AC22" s="38"/>
      <c r="AD22" s="49"/>
      <c r="AE22" s="49"/>
      <c r="AF22" s="49"/>
      <c r="AG22" s="38"/>
      <c r="AH22" s="38"/>
      <c r="AI22" s="38"/>
      <c r="AJ22" s="38"/>
      <c r="AK22" s="38"/>
    </row>
    <row r="23" spans="2:37" customFormat="1" ht="25.2" customHeight="1" x14ac:dyDescent="0.4">
      <c r="B23" s="26"/>
      <c r="C23" t="str">
        <f t="shared" si="7"/>
        <v/>
      </c>
      <c r="D23" s="10"/>
      <c r="E23" s="10"/>
      <c r="F23" s="10"/>
      <c r="G23" s="10"/>
      <c r="H23" s="10"/>
      <c r="I23" s="11"/>
      <c r="J23" s="11"/>
      <c r="L23" s="5"/>
      <c r="N23" s="38"/>
      <c r="O23" s="49"/>
      <c r="P23" s="49"/>
      <c r="Q23" s="55">
        <f ca="1"/>
        <v>45658</v>
      </c>
      <c r="R23" s="49">
        <f ca="1"/>
        <v>30000</v>
      </c>
      <c r="S23" s="49">
        <f t="shared" ca="1" si="8"/>
        <v>1</v>
      </c>
      <c r="T23" s="56">
        <f ca="1">SUMIF($S$18:$S$100,"=6",$R$18:$R$100)</f>
        <v>0</v>
      </c>
      <c r="U23" s="52" t="s">
        <v>58</v>
      </c>
      <c r="V23" s="52" t="str">
        <f t="shared" ca="1" si="9"/>
        <v/>
      </c>
      <c r="W23" s="49"/>
      <c r="X23" s="49"/>
      <c r="Y23" s="38"/>
      <c r="Z23" s="38"/>
      <c r="AA23" s="38"/>
      <c r="AB23" s="38"/>
      <c r="AC23" s="38"/>
      <c r="AD23" s="57"/>
      <c r="AE23" s="49"/>
      <c r="AF23" s="49"/>
      <c r="AG23" s="38"/>
      <c r="AH23" s="38"/>
      <c r="AI23" s="38"/>
      <c r="AJ23" s="38"/>
      <c r="AK23" s="38"/>
    </row>
    <row r="24" spans="2:37" customFormat="1" ht="25.2" customHeight="1" x14ac:dyDescent="0.4">
      <c r="B24" s="26"/>
      <c r="C24" t="str">
        <f t="shared" si="7"/>
        <v/>
      </c>
      <c r="D24" s="5"/>
      <c r="E24" s="5"/>
      <c r="F24" s="5"/>
      <c r="G24" s="5"/>
      <c r="H24" s="5"/>
      <c r="I24" s="5"/>
      <c r="J24" s="5"/>
      <c r="L24" s="5"/>
      <c r="N24" s="38"/>
      <c r="O24" s="49"/>
      <c r="P24" s="49"/>
      <c r="Q24" s="55">
        <f ca="1"/>
        <v>45930</v>
      </c>
      <c r="R24" s="49">
        <f ca="1"/>
        <v>3000000</v>
      </c>
      <c r="S24" s="49">
        <f t="shared" ca="1" si="8"/>
        <v>9</v>
      </c>
      <c r="T24" s="56">
        <f ca="1">SUMIF($S$18:$S$100,"=7",$R$18:$R$100)</f>
        <v>360</v>
      </c>
      <c r="U24" s="52" t="s">
        <v>50</v>
      </c>
      <c r="V24" s="52">
        <f t="shared" ca="1" si="9"/>
        <v>360</v>
      </c>
      <c r="W24" s="49"/>
      <c r="X24" s="49"/>
      <c r="Y24" s="38"/>
      <c r="Z24" s="38"/>
      <c r="AA24" s="38"/>
      <c r="AB24" s="38"/>
      <c r="AC24" s="38"/>
      <c r="AD24" s="49"/>
      <c r="AE24" s="49"/>
      <c r="AF24" s="49"/>
      <c r="AG24" s="38"/>
      <c r="AH24" s="38"/>
      <c r="AI24" s="38"/>
      <c r="AJ24" s="38"/>
      <c r="AK24" s="38"/>
    </row>
    <row r="25" spans="2:37" customFormat="1" ht="25.2" customHeight="1" x14ac:dyDescent="0.4">
      <c r="C25" t="str">
        <f t="shared" si="7"/>
        <v/>
      </c>
      <c r="D25" s="5"/>
      <c r="E25" s="5"/>
      <c r="F25" s="5"/>
      <c r="G25" s="5"/>
      <c r="H25" s="5"/>
      <c r="I25" s="5"/>
      <c r="J25" s="5"/>
      <c r="L25" s="5"/>
      <c r="N25" s="38"/>
      <c r="O25" s="49"/>
      <c r="P25" s="49"/>
      <c r="Q25" s="55">
        <f ca="1"/>
        <v>45925</v>
      </c>
      <c r="R25" s="49">
        <f ca="1"/>
        <v>1000000</v>
      </c>
      <c r="S25" s="49">
        <f t="shared" ca="1" si="8"/>
        <v>9</v>
      </c>
      <c r="T25" s="56">
        <f ca="1">SUMIF($S$18:$S$100,"=8",$R$18:$R$100)</f>
        <v>106000</v>
      </c>
      <c r="U25" s="52" t="s">
        <v>51</v>
      </c>
      <c r="V25" s="52">
        <f t="shared" ca="1" si="9"/>
        <v>106000</v>
      </c>
      <c r="W25" s="49"/>
      <c r="X25" s="49"/>
      <c r="Y25" s="38"/>
      <c r="Z25" s="38"/>
      <c r="AA25" s="38"/>
      <c r="AB25" s="38"/>
      <c r="AC25" s="38"/>
      <c r="AD25" s="49"/>
      <c r="AE25" s="49"/>
      <c r="AF25" s="49"/>
      <c r="AG25" s="38"/>
      <c r="AH25" s="38"/>
      <c r="AI25" s="38"/>
      <c r="AJ25" s="38"/>
      <c r="AK25" s="38"/>
    </row>
    <row r="26" spans="2:37" customFormat="1" ht="25.2" customHeight="1" x14ac:dyDescent="0.4">
      <c r="C26" t="str">
        <f t="shared" si="7"/>
        <v/>
      </c>
      <c r="D26" s="5"/>
      <c r="E26" s="5"/>
      <c r="F26" s="5"/>
      <c r="G26" s="5"/>
      <c r="H26" s="5"/>
      <c r="I26" s="5"/>
      <c r="J26" s="5"/>
      <c r="L26" s="5"/>
      <c r="N26" s="38"/>
      <c r="O26" s="49"/>
      <c r="P26" s="49"/>
      <c r="Q26" s="55">
        <f ca="1"/>
        <v>45900</v>
      </c>
      <c r="R26" s="49">
        <f ca="1"/>
        <v>100000</v>
      </c>
      <c r="S26" s="49">
        <f t="shared" ca="1" si="8"/>
        <v>8</v>
      </c>
      <c r="T26" s="56">
        <f ca="1">SUMIF($S$18:$S$100,"=9",$R$18:$R$100)</f>
        <v>5030660</v>
      </c>
      <c r="U26" s="52" t="s">
        <v>59</v>
      </c>
      <c r="V26" s="52">
        <f t="shared" ca="1" si="9"/>
        <v>5030660</v>
      </c>
      <c r="W26" s="49"/>
      <c r="X26" s="49"/>
      <c r="Y26" s="38"/>
      <c r="Z26" s="38"/>
      <c r="AA26" s="38"/>
      <c r="AB26" s="38"/>
      <c r="AC26" s="38"/>
      <c r="AD26" s="49"/>
      <c r="AE26" s="49"/>
      <c r="AF26" s="49"/>
      <c r="AG26" s="38"/>
      <c r="AH26" s="38"/>
      <c r="AI26" s="38"/>
      <c r="AJ26" s="38"/>
      <c r="AK26" s="38"/>
    </row>
    <row r="27" spans="2:37" customFormat="1" ht="25.2" customHeight="1" x14ac:dyDescent="0.4">
      <c r="B27" s="26"/>
      <c r="C27" t="str">
        <f t="shared" si="7"/>
        <v/>
      </c>
      <c r="D27" s="5"/>
      <c r="E27" s="5"/>
      <c r="F27" s="5"/>
      <c r="G27" s="5"/>
      <c r="H27" s="5"/>
      <c r="I27" s="5"/>
      <c r="J27" s="5"/>
      <c r="L27" s="5"/>
      <c r="N27" s="38"/>
      <c r="O27" s="49"/>
      <c r="P27" s="49"/>
      <c r="Q27" s="55">
        <f ca="1"/>
        <v>45900</v>
      </c>
      <c r="R27" s="49">
        <f ca="1"/>
        <v>6000</v>
      </c>
      <c r="S27" s="49">
        <f t="shared" ca="1" si="8"/>
        <v>8</v>
      </c>
      <c r="T27" s="56">
        <f ca="1">SUMIF($S$18:$S$100,"=10",$R$18:$R$100)</f>
        <v>0</v>
      </c>
      <c r="U27" s="52" t="s">
        <v>60</v>
      </c>
      <c r="V27" s="52" t="str">
        <f t="shared" ca="1" si="9"/>
        <v/>
      </c>
      <c r="W27" s="49"/>
      <c r="X27" s="49"/>
      <c r="Y27" s="38"/>
      <c r="Z27" s="38"/>
      <c r="AA27" s="38"/>
      <c r="AB27" s="38"/>
      <c r="AC27" s="38"/>
      <c r="AD27" s="49"/>
      <c r="AE27" s="49"/>
      <c r="AF27" s="49"/>
      <c r="AG27" s="38"/>
      <c r="AH27" s="38"/>
      <c r="AI27" s="38"/>
      <c r="AJ27" s="49"/>
      <c r="AK27" s="49"/>
    </row>
    <row r="28" spans="2:37" customFormat="1" ht="25.2" customHeight="1" x14ac:dyDescent="0.4">
      <c r="C28" t="str">
        <f t="shared" si="7"/>
        <v/>
      </c>
      <c r="D28" s="5"/>
      <c r="E28" s="5"/>
      <c r="F28" s="5"/>
      <c r="G28" s="5"/>
      <c r="H28" s="5"/>
      <c r="I28" s="5"/>
      <c r="J28" s="5"/>
      <c r="L28" s="5"/>
      <c r="N28" s="38"/>
      <c r="O28" s="49"/>
      <c r="P28" s="49"/>
      <c r="Q28" s="55">
        <f ca="1"/>
        <v>45930</v>
      </c>
      <c r="R28" s="49">
        <f ca="1"/>
        <v>360</v>
      </c>
      <c r="S28" s="49">
        <f t="shared" ca="1" si="8"/>
        <v>9</v>
      </c>
      <c r="T28" s="56">
        <f ca="1">SUMIF($S$18:$S$100,"=11",$R$18:$R$100)</f>
        <v>0</v>
      </c>
      <c r="U28" s="52" t="s">
        <v>61</v>
      </c>
      <c r="V28" s="52" t="str">
        <f t="shared" ca="1" si="9"/>
        <v/>
      </c>
      <c r="W28" s="49"/>
      <c r="X28" s="49"/>
      <c r="Y28" s="49"/>
      <c r="Z28" s="49"/>
      <c r="AA28" s="49"/>
      <c r="AB28" s="49"/>
      <c r="AC28" s="49"/>
      <c r="AD28" s="49"/>
      <c r="AE28" s="49"/>
      <c r="AF28" s="49"/>
      <c r="AG28" s="49"/>
      <c r="AH28" s="49"/>
      <c r="AI28" s="49"/>
      <c r="AJ28" s="49"/>
      <c r="AK28" s="49"/>
    </row>
    <row r="29" spans="2:37" customFormat="1" ht="25.2" customHeight="1" x14ac:dyDescent="0.4">
      <c r="C29" t="str">
        <f t="shared" si="7"/>
        <v/>
      </c>
      <c r="D29" s="10"/>
      <c r="E29" s="10"/>
      <c r="F29" s="10"/>
      <c r="G29" s="10"/>
      <c r="H29" s="10"/>
      <c r="I29" s="11"/>
      <c r="J29" s="11"/>
      <c r="L29" s="5"/>
      <c r="N29" s="38"/>
      <c r="O29" s="49"/>
      <c r="P29" s="49"/>
      <c r="Q29" s="55"/>
      <c r="R29" s="49"/>
      <c r="S29" s="49">
        <f t="shared" si="8"/>
        <v>1</v>
      </c>
      <c r="T29" s="56">
        <f ca="1">SUMIF($S$18:$S$100,"=12",$R$18:$R$100)</f>
        <v>0</v>
      </c>
      <c r="U29" s="52" t="s">
        <v>62</v>
      </c>
      <c r="V29" s="52" t="str">
        <f t="shared" ca="1" si="9"/>
        <v/>
      </c>
      <c r="W29" s="49"/>
      <c r="X29" s="49"/>
      <c r="Y29" s="49"/>
      <c r="Z29" s="49"/>
      <c r="AA29" s="49"/>
      <c r="AB29" s="58" t="s">
        <v>63</v>
      </c>
      <c r="AC29" s="58" t="s">
        <v>48</v>
      </c>
      <c r="AD29" s="52" t="s">
        <v>140</v>
      </c>
      <c r="AE29" s="58" t="s">
        <v>45</v>
      </c>
      <c r="AF29" s="58" t="s">
        <v>46</v>
      </c>
      <c r="AG29" s="49" t="s">
        <v>141</v>
      </c>
      <c r="AH29" s="49" t="s">
        <v>159</v>
      </c>
      <c r="AI29" s="49" t="s">
        <v>158</v>
      </c>
      <c r="AJ29" s="49" t="s">
        <v>161</v>
      </c>
      <c r="AK29" s="49"/>
    </row>
    <row r="30" spans="2:37" customFormat="1" ht="25.2" customHeight="1" x14ac:dyDescent="0.4">
      <c r="B30" s="26"/>
      <c r="C30" t="str">
        <f t="shared" si="7"/>
        <v/>
      </c>
      <c r="D30" s="5"/>
      <c r="E30" s="5"/>
      <c r="F30" s="5"/>
      <c r="G30" s="5"/>
      <c r="H30" s="5"/>
      <c r="I30" s="5"/>
      <c r="J30" s="5"/>
      <c r="L30" s="5"/>
      <c r="N30" s="38"/>
      <c r="O30" s="49"/>
      <c r="P30" s="49"/>
      <c r="Q30" s="55"/>
      <c r="R30" s="49"/>
      <c r="S30" s="49">
        <f t="shared" si="8"/>
        <v>1</v>
      </c>
      <c r="T30" s="49"/>
      <c r="U30" s="49"/>
      <c r="V30" s="49"/>
      <c r="W30" s="49"/>
      <c r="X30" s="49"/>
      <c r="Y30" s="49"/>
      <c r="Z30" s="49"/>
      <c r="AA30" s="49"/>
      <c r="AB30" s="58" t="str" cm="1">
        <f t="array" aca="1" ref="AB30:AB32" ca="1">OFFSET($W$11,,,SUMPRODUCT(($P$2:$P$8&lt;&gt;"")*1),1)</f>
        <v>萧远山</v>
      </c>
      <c r="AC30" s="58" cm="1">
        <f t="array" aca="1" ref="AC30:AC32" ca="1">OFFSET($AA$11,,,SUMPRODUCT(($P$2:$P$8&lt;&gt;"")*1),1)</f>
        <v>0</v>
      </c>
      <c r="AD30" s="52" cm="1">
        <f t="array" aca="1" ref="AD30:AD32" ca="1">OFFSET($AG$11,,,SUMPRODUCT(($P$2:$P$8&lt;&gt;"")*1),1)</f>
        <v>1500000</v>
      </c>
      <c r="AE30" s="58" cm="1">
        <f t="array" aca="1" ref="AE30:AE32" ca="1">OFFSET($Y$11,,,SUMPRODUCT(($P$2:$P$8&lt;&gt;"")*1),1)</f>
        <v>0</v>
      </c>
      <c r="AF30" s="58" cm="1">
        <f t="array" aca="1" ref="AF30:AF32" ca="1">OFFSET($X$11,,,SUMPRODUCT(($P$2:$P$8&lt;&gt;"")*1),1)</f>
        <v>0</v>
      </c>
      <c r="AG30" s="49" cm="1">
        <f t="array" aca="1" ref="AG30:AG32" ca="1">OFFSET($AK$11,,,SUMPRODUCT(($P$2:$P$8&lt;&gt;"")*1),1)</f>
        <v>2000000</v>
      </c>
      <c r="AH30" s="49" cm="1">
        <f t="array" aca="1" ref="AH30:AH32" ca="1">OFFSET($AC$11,,,SUMPRODUCT(($P$2:$P$8&lt;&gt;"")*1),1)</f>
        <v>10000000</v>
      </c>
      <c r="AI30" s="49" cm="1">
        <f t="array" aca="1" ref="AI30:AI32" ca="1">OFFSET($AD$11,,,SUMPRODUCT(($P$2:$P$8&lt;&gt;"")*1),1)</f>
        <v>0</v>
      </c>
      <c r="AJ30" s="49" cm="1">
        <f t="array" aca="1" ref="AJ30:AJ32" ca="1">OFFSET($AE$11,,,SUMPRODUCT(($P$2:$P$8&lt;&gt;"")*1),1)</f>
        <v>0</v>
      </c>
      <c r="AK30" s="49"/>
    </row>
    <row r="31" spans="2:37" customFormat="1" ht="25.2" customHeight="1" x14ac:dyDescent="0.4">
      <c r="B31" s="26"/>
      <c r="C31" t="str">
        <f t="shared" si="7"/>
        <v/>
      </c>
      <c r="D31" s="5"/>
      <c r="E31" s="5"/>
      <c r="F31" s="5"/>
      <c r="G31" s="5"/>
      <c r="H31" s="5"/>
      <c r="I31" s="5"/>
      <c r="J31" s="5"/>
      <c r="L31" s="5"/>
      <c r="N31" s="38"/>
      <c r="O31" s="49"/>
      <c r="P31" s="49"/>
      <c r="Q31" s="55"/>
      <c r="R31" s="49"/>
      <c r="S31" s="49">
        <f t="shared" si="8"/>
        <v>1</v>
      </c>
      <c r="T31" s="49"/>
      <c r="U31" s="49"/>
      <c r="V31" s="49"/>
      <c r="W31" s="49"/>
      <c r="X31" s="49"/>
      <c r="Y31" s="49"/>
      <c r="Z31" s="49"/>
      <c r="AA31" s="49"/>
      <c r="AB31" s="58" t="str">
        <f ca="1"/>
        <v>萧峰</v>
      </c>
      <c r="AC31" s="58">
        <f ca="1"/>
        <v>1000000</v>
      </c>
      <c r="AD31" s="52">
        <f ca="1"/>
        <v>8000000</v>
      </c>
      <c r="AE31" s="58">
        <f ca="1"/>
        <v>500000</v>
      </c>
      <c r="AF31" s="58">
        <f ca="1"/>
        <v>30000</v>
      </c>
      <c r="AG31" s="49">
        <f ca="1"/>
        <v>2000000</v>
      </c>
      <c r="AH31" s="49">
        <f ca="1"/>
        <v>5000000</v>
      </c>
      <c r="AI31" s="49">
        <f ca="1"/>
        <v>5000000</v>
      </c>
      <c r="AJ31" s="49">
        <f ca="1"/>
        <v>10000000</v>
      </c>
      <c r="AK31" s="49"/>
    </row>
    <row r="32" spans="2:37" customFormat="1" ht="25.2" customHeight="1" x14ac:dyDescent="0.4">
      <c r="B32" s="26" t="str">
        <f>IF(D33&lt;&gt;"",C32+1,"")</f>
        <v/>
      </c>
      <c r="C32" t="str">
        <f t="shared" si="7"/>
        <v/>
      </c>
      <c r="D32" s="5"/>
      <c r="E32" s="5"/>
      <c r="F32" s="5"/>
      <c r="G32" s="5"/>
      <c r="H32" s="5"/>
      <c r="I32" s="5"/>
      <c r="J32" s="5"/>
      <c r="L32" s="5"/>
      <c r="N32" s="38"/>
      <c r="O32" s="49"/>
      <c r="P32" s="49"/>
      <c r="Q32" s="55"/>
      <c r="R32" s="49"/>
      <c r="S32" s="49">
        <f t="shared" si="8"/>
        <v>1</v>
      </c>
      <c r="T32" s="49"/>
      <c r="U32" s="49"/>
      <c r="V32" s="49"/>
      <c r="W32" s="49"/>
      <c r="X32" s="49"/>
      <c r="Y32" s="49"/>
      <c r="Z32" s="49"/>
      <c r="AA32" s="49"/>
      <c r="AB32" s="58" t="str">
        <f ca="1"/>
        <v>阿朱</v>
      </c>
      <c r="AC32" s="58">
        <f ca="1"/>
        <v>800000</v>
      </c>
      <c r="AD32" s="52">
        <f ca="1"/>
        <v>9000000</v>
      </c>
      <c r="AE32" s="58">
        <f ca="1"/>
        <v>500000</v>
      </c>
      <c r="AF32" s="58">
        <f ca="1"/>
        <v>30000</v>
      </c>
      <c r="AG32" s="49">
        <f ca="1"/>
        <v>0</v>
      </c>
      <c r="AH32" s="49">
        <f ca="1"/>
        <v>0</v>
      </c>
      <c r="AI32" s="49">
        <f ca="1"/>
        <v>0</v>
      </c>
      <c r="AJ32" s="49">
        <f ca="1"/>
        <v>0</v>
      </c>
      <c r="AK32" s="49"/>
    </row>
    <row r="33" spans="2:37" customFormat="1" ht="25.2" customHeight="1" x14ac:dyDescent="0.4">
      <c r="N33" s="38"/>
      <c r="O33" s="49"/>
      <c r="P33" s="49"/>
      <c r="Q33" s="55"/>
      <c r="R33" s="49"/>
      <c r="S33" s="49">
        <f t="shared" si="8"/>
        <v>1</v>
      </c>
      <c r="T33" s="49"/>
      <c r="U33" s="49"/>
      <c r="V33" s="49"/>
      <c r="W33" s="49"/>
      <c r="X33" s="49"/>
      <c r="Y33" s="49"/>
      <c r="Z33" s="49"/>
      <c r="AA33" s="49"/>
      <c r="AB33" s="58"/>
      <c r="AC33" s="58"/>
      <c r="AD33" s="52"/>
      <c r="AE33" s="58"/>
      <c r="AF33" s="58"/>
      <c r="AG33" s="49"/>
      <c r="AH33" s="38"/>
      <c r="AI33" s="38"/>
      <c r="AJ33" s="38"/>
      <c r="AK33" s="38"/>
    </row>
    <row r="34" spans="2:37" customFormat="1" ht="25.2" customHeight="1" x14ac:dyDescent="0.4">
      <c r="B34" s="26"/>
      <c r="N34" s="38"/>
      <c r="O34" s="49"/>
      <c r="P34" s="49"/>
      <c r="Q34" s="55"/>
      <c r="R34" s="49"/>
      <c r="S34" s="49">
        <f t="shared" si="8"/>
        <v>1</v>
      </c>
      <c r="T34" s="49"/>
      <c r="U34" s="49"/>
      <c r="V34" s="49"/>
      <c r="W34" s="49"/>
      <c r="X34" s="49"/>
      <c r="Y34" s="49"/>
      <c r="Z34" s="49"/>
      <c r="AA34" s="49"/>
      <c r="AB34" s="58"/>
      <c r="AC34" s="58"/>
      <c r="AD34" s="52"/>
      <c r="AE34" s="58"/>
      <c r="AF34" s="58"/>
      <c r="AG34" s="49"/>
      <c r="AH34" s="38"/>
      <c r="AI34" s="38"/>
      <c r="AJ34" s="38"/>
      <c r="AK34" s="38"/>
    </row>
    <row r="35" spans="2:37" customFormat="1" ht="25.2" customHeight="1" x14ac:dyDescent="0.4">
      <c r="B35" s="26"/>
      <c r="N35" s="38"/>
      <c r="O35" s="49"/>
      <c r="P35" s="49"/>
      <c r="Q35" s="55"/>
      <c r="R35" s="49"/>
      <c r="S35" s="49">
        <f t="shared" si="8"/>
        <v>1</v>
      </c>
      <c r="T35" s="49"/>
      <c r="U35" s="49"/>
      <c r="V35" s="49"/>
      <c r="W35" s="49"/>
      <c r="X35" s="49"/>
      <c r="Y35" s="49"/>
      <c r="Z35" s="49"/>
      <c r="AA35" s="49"/>
      <c r="AB35" s="49"/>
      <c r="AC35" s="49"/>
      <c r="AD35" s="49"/>
      <c r="AE35" s="49"/>
      <c r="AF35" s="49"/>
      <c r="AG35" s="49"/>
      <c r="AH35" s="38"/>
      <c r="AI35" s="38"/>
      <c r="AJ35" s="38"/>
      <c r="AK35" s="38"/>
    </row>
    <row r="36" spans="2:37" customFormat="1" x14ac:dyDescent="0.4">
      <c r="N36" s="38"/>
      <c r="O36" s="49"/>
      <c r="P36" s="49"/>
      <c r="Q36" s="55"/>
      <c r="R36" s="49"/>
      <c r="S36" s="49">
        <f t="shared" si="8"/>
        <v>1</v>
      </c>
      <c r="T36" s="49"/>
      <c r="U36" s="49"/>
      <c r="V36" s="49"/>
      <c r="W36" s="49"/>
      <c r="X36" s="49"/>
      <c r="Y36" s="49"/>
      <c r="Z36" s="49"/>
      <c r="AA36" s="49"/>
      <c r="AB36" s="49"/>
      <c r="AC36" s="49"/>
      <c r="AD36" s="49"/>
      <c r="AE36" s="49"/>
      <c r="AF36" s="49"/>
      <c r="AG36" s="49"/>
      <c r="AH36" s="38"/>
      <c r="AI36" s="38"/>
      <c r="AJ36" s="38"/>
      <c r="AK36" s="38"/>
    </row>
    <row r="37" spans="2:37" customFormat="1" x14ac:dyDescent="0.4">
      <c r="N37" s="38"/>
      <c r="O37" s="49"/>
      <c r="P37" s="49"/>
      <c r="Q37" s="55"/>
      <c r="R37" s="49"/>
      <c r="S37" s="49">
        <f t="shared" si="8"/>
        <v>1</v>
      </c>
      <c r="T37" s="49"/>
      <c r="U37" s="49"/>
      <c r="V37" s="49"/>
      <c r="W37" s="49"/>
      <c r="X37" s="49"/>
      <c r="Y37" s="49"/>
      <c r="Z37" s="49"/>
      <c r="AA37" s="49"/>
      <c r="AB37" s="49"/>
      <c r="AC37" s="49"/>
      <c r="AD37" s="49"/>
      <c r="AE37" s="49"/>
      <c r="AF37" s="49"/>
      <c r="AG37" s="49"/>
      <c r="AH37" s="38"/>
      <c r="AI37" s="38"/>
      <c r="AJ37" s="38"/>
      <c r="AK37" s="38"/>
    </row>
    <row r="38" spans="2:37" customFormat="1" x14ac:dyDescent="0.4">
      <c r="N38" s="38"/>
      <c r="O38" s="49"/>
      <c r="P38" s="49"/>
      <c r="Q38" s="55"/>
      <c r="R38" s="49"/>
      <c r="S38" s="49">
        <f t="shared" si="8"/>
        <v>1</v>
      </c>
      <c r="T38" s="49"/>
      <c r="U38" s="49"/>
      <c r="V38" s="49"/>
      <c r="W38" s="49"/>
      <c r="X38" s="49"/>
      <c r="Y38" s="49"/>
      <c r="Z38" s="49"/>
      <c r="AA38" s="49"/>
      <c r="AB38" s="49"/>
      <c r="AC38" s="49"/>
      <c r="AD38" s="49"/>
      <c r="AE38" s="49"/>
      <c r="AF38" s="49"/>
      <c r="AG38" s="49"/>
      <c r="AH38" s="38"/>
      <c r="AI38" s="38"/>
      <c r="AJ38" s="38"/>
      <c r="AK38" s="38"/>
    </row>
    <row r="39" spans="2:37" customFormat="1" x14ac:dyDescent="0.4">
      <c r="N39" s="38"/>
      <c r="O39" s="49"/>
      <c r="P39" s="49"/>
      <c r="Q39" s="55"/>
      <c r="R39" s="49"/>
      <c r="S39" s="49">
        <f t="shared" si="8"/>
        <v>1</v>
      </c>
      <c r="T39" s="49"/>
      <c r="U39" s="49"/>
      <c r="V39" s="49"/>
      <c r="W39" s="49"/>
      <c r="X39" s="49"/>
      <c r="Y39" s="49"/>
      <c r="Z39" s="49"/>
      <c r="AA39" s="49"/>
      <c r="AB39" s="49"/>
      <c r="AC39" s="49"/>
      <c r="AD39" s="49"/>
      <c r="AE39" s="49"/>
      <c r="AF39" s="49"/>
      <c r="AG39" s="49"/>
      <c r="AH39" s="38"/>
      <c r="AI39" s="38"/>
      <c r="AJ39" s="38"/>
      <c r="AK39" s="38"/>
    </row>
    <row r="40" spans="2:37" customFormat="1" x14ac:dyDescent="0.4">
      <c r="N40" s="38"/>
      <c r="O40" s="49"/>
      <c r="P40" s="49"/>
      <c r="Q40" s="55"/>
      <c r="R40" s="49"/>
      <c r="S40" s="49">
        <f t="shared" si="8"/>
        <v>1</v>
      </c>
      <c r="T40" s="49"/>
      <c r="U40" s="49"/>
      <c r="V40" s="49"/>
      <c r="W40" s="49"/>
      <c r="X40" s="49"/>
      <c r="Y40" s="49"/>
      <c r="Z40" s="49"/>
      <c r="AA40" s="49"/>
      <c r="AB40" s="49"/>
      <c r="AC40" s="49"/>
      <c r="AD40" s="49"/>
      <c r="AE40" s="49"/>
      <c r="AF40" s="49"/>
      <c r="AG40" s="49"/>
      <c r="AH40" s="38"/>
      <c r="AI40" s="38"/>
      <c r="AJ40" s="38"/>
      <c r="AK40" s="38"/>
    </row>
    <row r="41" spans="2:37" customFormat="1" x14ac:dyDescent="0.4">
      <c r="N41" s="38"/>
      <c r="O41" s="49"/>
      <c r="P41" s="49"/>
      <c r="Q41" s="55"/>
      <c r="R41" s="49"/>
      <c r="S41" s="49">
        <f t="shared" si="8"/>
        <v>1</v>
      </c>
      <c r="T41" s="49"/>
      <c r="U41" s="49"/>
      <c r="V41" s="49"/>
      <c r="W41" s="49"/>
      <c r="X41" s="49"/>
      <c r="Y41" s="49"/>
      <c r="Z41" s="49"/>
      <c r="AA41" s="49"/>
      <c r="AB41" s="49"/>
      <c r="AC41" s="49"/>
      <c r="AD41" s="49"/>
      <c r="AE41" s="49"/>
      <c r="AF41" s="49"/>
      <c r="AG41" s="49"/>
      <c r="AH41" s="38"/>
      <c r="AI41" s="38"/>
      <c r="AJ41" s="38"/>
      <c r="AK41" s="38"/>
    </row>
    <row r="42" spans="2:37" customFormat="1" x14ac:dyDescent="0.4">
      <c r="N42" s="38"/>
      <c r="O42" s="49"/>
      <c r="P42" s="49"/>
      <c r="Q42" s="55"/>
      <c r="R42" s="49"/>
      <c r="S42" s="49">
        <f t="shared" si="8"/>
        <v>1</v>
      </c>
      <c r="T42" s="49"/>
      <c r="U42" s="49"/>
      <c r="V42" s="49"/>
      <c r="W42" s="49"/>
      <c r="X42" s="49"/>
      <c r="Y42" s="49"/>
      <c r="Z42" s="49"/>
      <c r="AA42" s="49"/>
      <c r="AB42" s="49"/>
      <c r="AC42" s="49"/>
      <c r="AD42" s="49"/>
      <c r="AE42" s="49"/>
      <c r="AF42" s="49"/>
      <c r="AG42" s="49"/>
      <c r="AH42" s="38"/>
      <c r="AI42" s="38"/>
      <c r="AJ42" s="38"/>
      <c r="AK42" s="38"/>
    </row>
    <row r="43" spans="2:37" customFormat="1" x14ac:dyDescent="0.4">
      <c r="N43" s="38"/>
      <c r="O43" s="49"/>
      <c r="P43" s="49"/>
      <c r="Q43" s="55"/>
      <c r="R43" s="49"/>
      <c r="S43" s="49">
        <f t="shared" si="8"/>
        <v>1</v>
      </c>
      <c r="T43" s="49"/>
      <c r="U43" s="49"/>
      <c r="V43" s="49"/>
      <c r="W43" s="49"/>
      <c r="X43" s="49"/>
      <c r="Y43" s="49"/>
      <c r="Z43" s="49"/>
      <c r="AA43" s="49"/>
      <c r="AB43" s="49"/>
      <c r="AC43" s="49"/>
      <c r="AD43" s="49"/>
      <c r="AE43" s="49"/>
      <c r="AF43" s="49"/>
      <c r="AG43" s="49"/>
      <c r="AH43" s="38"/>
      <c r="AI43" s="38"/>
      <c r="AJ43" s="38"/>
      <c r="AK43" s="38"/>
    </row>
    <row r="44" spans="2:37" customFormat="1" x14ac:dyDescent="0.4">
      <c r="N44" s="38"/>
      <c r="O44" s="49"/>
      <c r="P44" s="49"/>
      <c r="Q44" s="55"/>
      <c r="R44" s="49"/>
      <c r="S44" s="49">
        <f t="shared" si="8"/>
        <v>1</v>
      </c>
      <c r="T44" s="49"/>
      <c r="U44" s="49"/>
      <c r="V44" s="49"/>
      <c r="W44" s="49"/>
      <c r="X44" s="49"/>
      <c r="Y44" s="49"/>
      <c r="Z44" s="49"/>
      <c r="AA44" s="49"/>
      <c r="AB44" s="49"/>
      <c r="AC44" s="49"/>
      <c r="AD44" s="49"/>
      <c r="AE44" s="49"/>
      <c r="AF44" s="49"/>
      <c r="AG44" s="49"/>
      <c r="AH44" s="38"/>
      <c r="AI44" s="38"/>
      <c r="AJ44" s="38"/>
      <c r="AK44" s="38"/>
    </row>
    <row r="45" spans="2:37" customFormat="1" x14ac:dyDescent="0.4">
      <c r="N45" s="38"/>
      <c r="O45" s="49"/>
      <c r="P45" s="49"/>
      <c r="Q45" s="55"/>
      <c r="R45" s="49"/>
      <c r="S45" s="49">
        <f t="shared" si="8"/>
        <v>1</v>
      </c>
      <c r="T45" s="49"/>
      <c r="U45" s="49"/>
      <c r="V45" s="49"/>
      <c r="W45" s="49"/>
      <c r="X45" s="49"/>
      <c r="Y45" s="49"/>
      <c r="Z45" s="49"/>
      <c r="AA45" s="49"/>
      <c r="AB45" s="49"/>
      <c r="AC45" s="49"/>
      <c r="AD45" s="49"/>
      <c r="AE45" s="49"/>
      <c r="AF45" s="49"/>
      <c r="AG45" s="49"/>
      <c r="AH45" s="38"/>
      <c r="AI45" s="38"/>
      <c r="AJ45" s="38"/>
      <c r="AK45" s="38"/>
    </row>
    <row r="46" spans="2:37" x14ac:dyDescent="0.4">
      <c r="O46" s="49"/>
      <c r="P46" s="49"/>
      <c r="Q46" s="59"/>
      <c r="R46" s="60"/>
      <c r="S46" s="60">
        <f t="shared" si="8"/>
        <v>1</v>
      </c>
      <c r="T46" s="49"/>
      <c r="U46" s="49"/>
      <c r="V46" s="49"/>
      <c r="W46" s="49"/>
      <c r="X46" s="49"/>
      <c r="Y46" s="49"/>
      <c r="Z46" s="49"/>
      <c r="AA46" s="49"/>
      <c r="AB46" s="49"/>
      <c r="AC46" s="49"/>
      <c r="AD46" s="49"/>
      <c r="AE46" s="49"/>
      <c r="AF46" s="49"/>
      <c r="AG46" s="49"/>
    </row>
    <row r="47" spans="2:37" x14ac:dyDescent="0.4">
      <c r="O47" s="49"/>
      <c r="P47" s="49"/>
      <c r="Q47" s="59"/>
      <c r="R47" s="60"/>
      <c r="S47" s="60">
        <f t="shared" si="8"/>
        <v>1</v>
      </c>
      <c r="T47" s="49"/>
      <c r="U47" s="49"/>
      <c r="V47" s="49"/>
      <c r="W47" s="49"/>
      <c r="X47" s="49"/>
      <c r="Y47" s="49"/>
      <c r="Z47" s="49"/>
      <c r="AA47" s="49"/>
      <c r="AB47" s="49"/>
      <c r="AC47" s="49"/>
      <c r="AD47" s="49"/>
      <c r="AE47" s="49"/>
      <c r="AF47" s="49"/>
      <c r="AG47" s="49"/>
    </row>
    <row r="48" spans="2:37" x14ac:dyDescent="0.4">
      <c r="O48" s="49"/>
      <c r="P48" s="49"/>
      <c r="Q48" s="59"/>
      <c r="R48" s="60"/>
      <c r="S48" s="60">
        <f t="shared" si="8"/>
        <v>1</v>
      </c>
      <c r="T48" s="49"/>
      <c r="U48" s="49"/>
      <c r="V48" s="49"/>
      <c r="W48" s="49"/>
      <c r="X48" s="49"/>
      <c r="Y48" s="49"/>
      <c r="Z48" s="49"/>
      <c r="AA48" s="49"/>
      <c r="AB48" s="49"/>
      <c r="AC48" s="49"/>
      <c r="AD48" s="49"/>
      <c r="AE48" s="49"/>
      <c r="AF48" s="49"/>
      <c r="AG48" s="49"/>
    </row>
    <row r="49" spans="15:33" x14ac:dyDescent="0.4">
      <c r="O49" s="49"/>
      <c r="P49" s="49"/>
      <c r="Q49" s="59"/>
      <c r="R49" s="60"/>
      <c r="S49" s="60">
        <f t="shared" si="8"/>
        <v>1</v>
      </c>
      <c r="T49" s="49"/>
      <c r="U49" s="49"/>
      <c r="V49" s="49"/>
      <c r="W49" s="49"/>
      <c r="X49" s="49"/>
      <c r="Y49" s="49"/>
      <c r="Z49" s="49"/>
      <c r="AA49" s="49"/>
      <c r="AB49" s="49"/>
      <c r="AC49" s="49"/>
      <c r="AD49" s="49"/>
      <c r="AE49" s="49"/>
      <c r="AF49" s="49"/>
      <c r="AG49" s="49"/>
    </row>
    <row r="50" spans="15:33" x14ac:dyDescent="0.4">
      <c r="O50" s="49"/>
      <c r="P50" s="49"/>
      <c r="Q50" s="59"/>
      <c r="R50" s="60"/>
      <c r="S50" s="60">
        <f t="shared" si="8"/>
        <v>1</v>
      </c>
      <c r="T50" s="49"/>
      <c r="U50" s="49"/>
      <c r="V50" s="49"/>
      <c r="W50" s="49"/>
      <c r="X50" s="49"/>
      <c r="Y50" s="49"/>
      <c r="Z50" s="49"/>
      <c r="AA50" s="49"/>
      <c r="AB50" s="49"/>
      <c r="AC50" s="49"/>
      <c r="AD50" s="49"/>
      <c r="AE50" s="49"/>
      <c r="AF50" s="49"/>
      <c r="AG50" s="49"/>
    </row>
    <row r="51" spans="15:33" x14ac:dyDescent="0.4">
      <c r="O51" s="49"/>
      <c r="P51" s="49"/>
      <c r="Q51" s="59"/>
      <c r="R51" s="60"/>
      <c r="S51" s="60">
        <f t="shared" si="8"/>
        <v>1</v>
      </c>
      <c r="T51" s="49"/>
      <c r="U51" s="49"/>
      <c r="V51" s="49"/>
      <c r="W51" s="49"/>
      <c r="X51" s="49"/>
      <c r="Y51" s="49"/>
      <c r="Z51" s="49"/>
      <c r="AA51" s="49"/>
      <c r="AB51" s="49"/>
      <c r="AC51" s="49"/>
      <c r="AD51" s="49"/>
      <c r="AE51" s="49"/>
      <c r="AF51" s="49"/>
      <c r="AG51" s="49"/>
    </row>
    <row r="52" spans="15:33" x14ac:dyDescent="0.4">
      <c r="O52" s="49"/>
      <c r="P52" s="49"/>
      <c r="Q52" s="59"/>
      <c r="R52" s="60"/>
      <c r="S52" s="60">
        <f t="shared" si="8"/>
        <v>1</v>
      </c>
      <c r="T52" s="49"/>
      <c r="U52" s="49"/>
      <c r="V52" s="49"/>
      <c r="W52" s="49"/>
      <c r="X52" s="49"/>
      <c r="Y52" s="49"/>
      <c r="Z52" s="49"/>
      <c r="AA52" s="49"/>
      <c r="AB52" s="49"/>
      <c r="AC52" s="49"/>
      <c r="AD52" s="49"/>
      <c r="AE52" s="49"/>
      <c r="AF52" s="49"/>
      <c r="AG52" s="49"/>
    </row>
    <row r="53" spans="15:33" x14ac:dyDescent="0.4">
      <c r="O53" s="49"/>
      <c r="P53" s="49"/>
      <c r="Q53" s="59"/>
      <c r="R53" s="60"/>
      <c r="S53" s="60">
        <f t="shared" si="8"/>
        <v>1</v>
      </c>
      <c r="T53" s="49"/>
      <c r="U53" s="49"/>
      <c r="V53" s="49"/>
      <c r="W53" s="49"/>
      <c r="X53" s="49"/>
      <c r="Y53" s="49"/>
      <c r="Z53" s="49"/>
      <c r="AA53" s="49"/>
      <c r="AB53" s="49"/>
      <c r="AC53" s="49"/>
      <c r="AD53" s="49"/>
      <c r="AE53" s="49"/>
      <c r="AF53" s="49"/>
      <c r="AG53" s="49"/>
    </row>
    <row r="54" spans="15:33" x14ac:dyDescent="0.4">
      <c r="O54" s="49"/>
      <c r="P54" s="49"/>
      <c r="Q54" s="59"/>
      <c r="R54" s="60"/>
      <c r="S54" s="60">
        <f t="shared" si="8"/>
        <v>1</v>
      </c>
      <c r="T54" s="49"/>
      <c r="U54" s="49"/>
      <c r="V54" s="49"/>
      <c r="W54" s="49"/>
      <c r="X54" s="49"/>
      <c r="Y54" s="49"/>
      <c r="Z54" s="49"/>
      <c r="AA54" s="49"/>
      <c r="AB54" s="49"/>
      <c r="AC54" s="49"/>
      <c r="AD54" s="49"/>
      <c r="AE54" s="49"/>
      <c r="AF54" s="49"/>
      <c r="AG54" s="49"/>
    </row>
    <row r="55" spans="15:33" x14ac:dyDescent="0.4">
      <c r="O55" s="49"/>
      <c r="P55" s="49"/>
      <c r="Q55" s="59"/>
      <c r="R55" s="60"/>
      <c r="S55" s="60">
        <f t="shared" si="8"/>
        <v>1</v>
      </c>
      <c r="T55" s="49"/>
      <c r="U55" s="49"/>
      <c r="V55" s="49"/>
      <c r="W55" s="49"/>
      <c r="X55" s="49"/>
      <c r="Y55" s="49"/>
      <c r="Z55" s="49"/>
      <c r="AA55" s="49"/>
      <c r="AB55" s="49"/>
      <c r="AC55" s="49"/>
      <c r="AD55" s="49"/>
      <c r="AE55" s="49"/>
      <c r="AF55" s="49"/>
      <c r="AG55" s="49"/>
    </row>
    <row r="56" spans="15:33" x14ac:dyDescent="0.4">
      <c r="O56" s="49"/>
      <c r="P56" s="49"/>
      <c r="Q56" s="59"/>
      <c r="R56" s="60"/>
      <c r="S56" s="60">
        <f t="shared" si="8"/>
        <v>1</v>
      </c>
      <c r="T56" s="49"/>
      <c r="U56" s="49"/>
      <c r="V56" s="49"/>
      <c r="W56" s="49"/>
      <c r="X56" s="49"/>
      <c r="Y56" s="49"/>
      <c r="Z56" s="49"/>
      <c r="AA56" s="49"/>
      <c r="AB56" s="49"/>
      <c r="AC56" s="49"/>
      <c r="AD56" s="49"/>
      <c r="AE56" s="49"/>
      <c r="AF56" s="49"/>
      <c r="AG56" s="49"/>
    </row>
    <row r="57" spans="15:33" x14ac:dyDescent="0.4">
      <c r="O57" s="49"/>
      <c r="P57" s="49"/>
      <c r="Q57" s="59"/>
      <c r="R57" s="60"/>
      <c r="S57" s="60">
        <f t="shared" si="8"/>
        <v>1</v>
      </c>
      <c r="T57" s="49"/>
      <c r="U57" s="49"/>
      <c r="V57" s="49"/>
      <c r="W57" s="49"/>
      <c r="X57" s="49"/>
      <c r="Y57" s="49"/>
      <c r="Z57" s="49"/>
      <c r="AA57" s="49"/>
      <c r="AB57" s="49"/>
      <c r="AC57" s="49"/>
      <c r="AD57" s="49"/>
      <c r="AE57" s="49"/>
      <c r="AF57" s="49"/>
      <c r="AG57" s="49"/>
    </row>
    <row r="58" spans="15:33" x14ac:dyDescent="0.4">
      <c r="O58" s="49"/>
      <c r="P58" s="49"/>
      <c r="Q58" s="59"/>
      <c r="R58" s="60"/>
      <c r="S58" s="60">
        <f t="shared" si="8"/>
        <v>1</v>
      </c>
      <c r="T58" s="49"/>
      <c r="U58" s="49"/>
      <c r="V58" s="49"/>
      <c r="W58" s="49"/>
      <c r="X58" s="49"/>
      <c r="Y58" s="49"/>
      <c r="Z58" s="49"/>
      <c r="AA58" s="49"/>
      <c r="AB58" s="49"/>
      <c r="AC58" s="49"/>
      <c r="AD58" s="49"/>
      <c r="AE58" s="49"/>
      <c r="AF58" s="49"/>
      <c r="AG58" s="49"/>
    </row>
    <row r="59" spans="15:33" x14ac:dyDescent="0.4">
      <c r="O59" s="49"/>
      <c r="P59" s="49"/>
      <c r="Q59" s="59"/>
      <c r="R59" s="60"/>
      <c r="S59" s="60">
        <f t="shared" si="8"/>
        <v>1</v>
      </c>
      <c r="T59" s="49"/>
      <c r="U59" s="49"/>
      <c r="V59" s="49"/>
      <c r="W59" s="49"/>
      <c r="X59" s="49"/>
      <c r="Y59" s="49"/>
      <c r="Z59" s="49"/>
      <c r="AA59" s="49"/>
      <c r="AB59" s="49"/>
      <c r="AC59" s="49"/>
      <c r="AD59" s="49"/>
      <c r="AE59" s="49"/>
      <c r="AF59" s="49"/>
      <c r="AG59" s="49"/>
    </row>
    <row r="60" spans="15:33" x14ac:dyDescent="0.4">
      <c r="O60" s="49"/>
      <c r="P60" s="49"/>
      <c r="Q60" s="59"/>
      <c r="R60" s="60"/>
      <c r="S60" s="60">
        <f t="shared" si="8"/>
        <v>1</v>
      </c>
      <c r="T60" s="49"/>
      <c r="U60" s="49"/>
      <c r="V60" s="49"/>
      <c r="W60" s="49"/>
      <c r="X60" s="49"/>
      <c r="Y60" s="49"/>
      <c r="Z60" s="49"/>
      <c r="AA60" s="49"/>
      <c r="AB60" s="49"/>
      <c r="AC60" s="49"/>
      <c r="AD60" s="49"/>
      <c r="AE60" s="49"/>
      <c r="AF60" s="49"/>
      <c r="AG60" s="49"/>
    </row>
    <row r="61" spans="15:33" x14ac:dyDescent="0.4">
      <c r="O61" s="49"/>
      <c r="P61" s="49"/>
      <c r="Q61" s="59"/>
      <c r="R61" s="60"/>
      <c r="S61" s="60">
        <f t="shared" si="8"/>
        <v>1</v>
      </c>
      <c r="T61" s="49"/>
      <c r="U61" s="49"/>
      <c r="V61" s="49"/>
      <c r="W61" s="49"/>
      <c r="X61" s="49"/>
      <c r="Y61" s="49"/>
      <c r="Z61" s="49"/>
      <c r="AA61" s="49"/>
      <c r="AB61" s="49"/>
      <c r="AC61" s="49"/>
      <c r="AD61" s="49"/>
      <c r="AE61" s="49"/>
      <c r="AF61" s="49"/>
      <c r="AG61" s="49"/>
    </row>
    <row r="62" spans="15:33" x14ac:dyDescent="0.4">
      <c r="O62" s="49"/>
      <c r="P62" s="49"/>
      <c r="Q62" s="59"/>
      <c r="R62" s="60"/>
      <c r="S62" s="60">
        <f t="shared" si="8"/>
        <v>1</v>
      </c>
      <c r="T62" s="49"/>
      <c r="U62" s="49"/>
      <c r="V62" s="49"/>
      <c r="W62" s="49"/>
      <c r="X62" s="49"/>
      <c r="Y62" s="49"/>
      <c r="Z62" s="49"/>
      <c r="AA62" s="49"/>
      <c r="AB62" s="49"/>
      <c r="AC62" s="49"/>
      <c r="AD62" s="49"/>
      <c r="AE62" s="49"/>
      <c r="AF62" s="49"/>
      <c r="AG62" s="49"/>
    </row>
    <row r="63" spans="15:33" x14ac:dyDescent="0.4">
      <c r="O63" s="49"/>
      <c r="P63" s="49"/>
      <c r="Q63" s="59"/>
      <c r="R63" s="60"/>
      <c r="S63" s="60">
        <f t="shared" si="8"/>
        <v>1</v>
      </c>
      <c r="T63" s="49"/>
      <c r="U63" s="49"/>
      <c r="V63" s="49"/>
      <c r="W63" s="49"/>
      <c r="X63" s="49"/>
      <c r="Y63" s="49"/>
      <c r="Z63" s="49"/>
      <c r="AA63" s="49"/>
      <c r="AB63" s="49"/>
      <c r="AC63" s="49"/>
      <c r="AD63" s="49"/>
      <c r="AE63" s="49"/>
      <c r="AF63" s="49"/>
      <c r="AG63" s="49"/>
    </row>
    <row r="64" spans="15:33" x14ac:dyDescent="0.4">
      <c r="O64" s="49"/>
      <c r="P64" s="49"/>
      <c r="Q64" s="59"/>
      <c r="R64" s="60"/>
      <c r="S64" s="60">
        <f t="shared" si="8"/>
        <v>1</v>
      </c>
      <c r="T64" s="49"/>
      <c r="U64" s="49"/>
      <c r="V64" s="49"/>
      <c r="W64" s="49"/>
      <c r="X64" s="49"/>
      <c r="Y64" s="49"/>
      <c r="Z64" s="49"/>
      <c r="AA64" s="49"/>
      <c r="AB64" s="49"/>
      <c r="AC64" s="49"/>
      <c r="AD64" s="49"/>
      <c r="AE64" s="49"/>
      <c r="AF64" s="49"/>
      <c r="AG64" s="49"/>
    </row>
    <row r="65" spans="15:33" x14ac:dyDescent="0.4">
      <c r="O65" s="49"/>
      <c r="P65" s="49"/>
      <c r="Q65" s="59"/>
      <c r="R65" s="60"/>
      <c r="S65" s="60">
        <f t="shared" si="8"/>
        <v>1</v>
      </c>
      <c r="T65" s="49"/>
      <c r="U65" s="49"/>
      <c r="V65" s="49"/>
      <c r="W65" s="49"/>
      <c r="X65" s="49"/>
      <c r="Y65" s="49"/>
      <c r="Z65" s="49"/>
      <c r="AA65" s="49"/>
      <c r="AB65" s="49"/>
      <c r="AC65" s="49"/>
      <c r="AD65" s="49"/>
      <c r="AE65" s="49"/>
      <c r="AF65" s="49"/>
      <c r="AG65" s="49"/>
    </row>
    <row r="66" spans="15:33" x14ac:dyDescent="0.4">
      <c r="O66" s="49"/>
      <c r="P66" s="49"/>
      <c r="Q66" s="59"/>
      <c r="R66" s="60"/>
      <c r="S66" s="60">
        <f t="shared" si="8"/>
        <v>1</v>
      </c>
      <c r="T66" s="49"/>
      <c r="U66" s="49"/>
      <c r="V66" s="49"/>
      <c r="W66" s="49"/>
      <c r="X66" s="49"/>
      <c r="Y66" s="49"/>
      <c r="Z66" s="49"/>
      <c r="AA66" s="49"/>
      <c r="AB66" s="49"/>
      <c r="AC66" s="49"/>
      <c r="AD66" s="49"/>
      <c r="AE66" s="49"/>
      <c r="AF66" s="49"/>
      <c r="AG66" s="49"/>
    </row>
    <row r="67" spans="15:33" x14ac:dyDescent="0.4">
      <c r="O67" s="49"/>
      <c r="P67" s="49"/>
      <c r="Q67" s="59"/>
      <c r="R67" s="60"/>
      <c r="S67" s="60">
        <f t="shared" si="8"/>
        <v>1</v>
      </c>
      <c r="T67" s="49"/>
      <c r="U67" s="49"/>
      <c r="V67" s="49"/>
      <c r="W67" s="49"/>
      <c r="X67" s="49"/>
      <c r="Y67" s="49"/>
      <c r="Z67" s="49"/>
      <c r="AA67" s="49"/>
      <c r="AB67" s="49"/>
      <c r="AC67" s="49"/>
      <c r="AD67" s="49"/>
      <c r="AE67" s="49"/>
      <c r="AF67" s="49"/>
      <c r="AG67" s="49"/>
    </row>
    <row r="68" spans="15:33" x14ac:dyDescent="0.4">
      <c r="O68" s="49"/>
      <c r="P68" s="49"/>
      <c r="Q68" s="59"/>
      <c r="R68" s="60"/>
      <c r="S68" s="60">
        <f t="shared" si="8"/>
        <v>1</v>
      </c>
      <c r="T68" s="49"/>
      <c r="U68" s="49"/>
      <c r="V68" s="49"/>
      <c r="W68" s="49"/>
      <c r="X68" s="49"/>
      <c r="Y68" s="49"/>
      <c r="Z68" s="49"/>
      <c r="AA68" s="49"/>
      <c r="AB68" s="49"/>
      <c r="AC68" s="49"/>
      <c r="AD68" s="49"/>
      <c r="AE68" s="49"/>
      <c r="AF68" s="49"/>
      <c r="AG68" s="49"/>
    </row>
    <row r="69" spans="15:33" x14ac:dyDescent="0.4">
      <c r="O69" s="49"/>
      <c r="P69" s="49"/>
      <c r="Q69" s="59"/>
      <c r="R69" s="60"/>
      <c r="S69" s="60">
        <f t="shared" si="8"/>
        <v>1</v>
      </c>
      <c r="T69" s="49"/>
      <c r="U69" s="49"/>
      <c r="V69" s="49"/>
      <c r="W69" s="49"/>
      <c r="X69" s="49"/>
      <c r="Y69" s="49"/>
      <c r="Z69" s="49"/>
      <c r="AA69" s="49"/>
      <c r="AB69" s="49"/>
      <c r="AC69" s="49"/>
      <c r="AD69" s="49"/>
      <c r="AE69" s="49"/>
      <c r="AF69" s="49"/>
      <c r="AG69" s="49"/>
    </row>
    <row r="70" spans="15:33" x14ac:dyDescent="0.4">
      <c r="O70" s="49"/>
      <c r="P70" s="49"/>
      <c r="Q70" s="59"/>
      <c r="R70" s="60"/>
      <c r="S70" s="60">
        <f t="shared" si="8"/>
        <v>1</v>
      </c>
      <c r="T70" s="49"/>
      <c r="U70" s="49"/>
      <c r="V70" s="49"/>
      <c r="W70" s="49"/>
      <c r="X70" s="49"/>
      <c r="Y70" s="49"/>
      <c r="Z70" s="49"/>
      <c r="AA70" s="49"/>
      <c r="AB70" s="49"/>
      <c r="AC70" s="49"/>
      <c r="AD70" s="49"/>
      <c r="AE70" s="49"/>
      <c r="AF70" s="49"/>
      <c r="AG70" s="49"/>
    </row>
    <row r="71" spans="15:33" x14ac:dyDescent="0.4">
      <c r="O71" s="49"/>
      <c r="P71" s="49"/>
      <c r="Q71" s="59"/>
      <c r="R71" s="60"/>
      <c r="S71" s="60">
        <f t="shared" si="8"/>
        <v>1</v>
      </c>
      <c r="T71" s="49"/>
      <c r="U71" s="49"/>
      <c r="V71" s="49"/>
      <c r="W71" s="49"/>
      <c r="X71" s="49"/>
      <c r="Y71" s="49"/>
      <c r="Z71" s="49"/>
      <c r="AA71" s="49"/>
      <c r="AB71" s="49"/>
      <c r="AC71" s="49"/>
      <c r="AD71" s="49"/>
      <c r="AE71" s="49"/>
      <c r="AF71" s="49"/>
      <c r="AG71" s="49"/>
    </row>
    <row r="72" spans="15:33" x14ac:dyDescent="0.4">
      <c r="O72" s="49"/>
      <c r="P72" s="49"/>
      <c r="Q72" s="59"/>
      <c r="R72" s="60"/>
      <c r="S72" s="60">
        <f t="shared" si="8"/>
        <v>1</v>
      </c>
      <c r="T72" s="49"/>
      <c r="U72" s="49"/>
      <c r="V72" s="49"/>
      <c r="W72" s="49"/>
      <c r="X72" s="49"/>
      <c r="Y72" s="49"/>
      <c r="Z72" s="49"/>
      <c r="AA72" s="49"/>
      <c r="AB72" s="49"/>
      <c r="AC72" s="49"/>
      <c r="AD72" s="49"/>
      <c r="AE72" s="49"/>
      <c r="AF72" s="49"/>
      <c r="AG72" s="49"/>
    </row>
    <row r="73" spans="15:33" x14ac:dyDescent="0.4">
      <c r="O73" s="49"/>
      <c r="P73" s="49"/>
      <c r="Q73" s="59"/>
      <c r="R73" s="60"/>
      <c r="S73" s="60">
        <f t="shared" si="8"/>
        <v>1</v>
      </c>
      <c r="T73" s="49"/>
      <c r="U73" s="49"/>
      <c r="V73" s="49"/>
      <c r="W73" s="49"/>
      <c r="X73" s="49"/>
      <c r="Y73" s="49"/>
      <c r="Z73" s="49"/>
      <c r="AA73" s="49"/>
      <c r="AB73" s="49"/>
      <c r="AC73" s="49"/>
      <c r="AD73" s="49"/>
      <c r="AE73" s="49"/>
      <c r="AF73" s="49"/>
      <c r="AG73" s="49"/>
    </row>
    <row r="74" spans="15:33" x14ac:dyDescent="0.4">
      <c r="O74" s="49"/>
      <c r="P74" s="49"/>
      <c r="Q74" s="59"/>
      <c r="R74" s="60"/>
      <c r="S74" s="60">
        <f t="shared" si="8"/>
        <v>1</v>
      </c>
      <c r="T74" s="49"/>
      <c r="U74" s="49"/>
      <c r="V74" s="49"/>
      <c r="W74" s="49"/>
      <c r="X74" s="49"/>
      <c r="Y74" s="49"/>
      <c r="Z74" s="49"/>
      <c r="AA74" s="49"/>
      <c r="AB74" s="49"/>
      <c r="AC74" s="49"/>
      <c r="AD74" s="49"/>
      <c r="AE74" s="49"/>
      <c r="AF74" s="49"/>
      <c r="AG74" s="49"/>
    </row>
    <row r="75" spans="15:33" x14ac:dyDescent="0.4">
      <c r="O75" s="49"/>
      <c r="P75" s="49"/>
      <c r="Q75" s="59"/>
      <c r="R75" s="60"/>
      <c r="S75" s="60">
        <f t="shared" si="8"/>
        <v>1</v>
      </c>
      <c r="T75" s="49"/>
      <c r="U75" s="49"/>
      <c r="V75" s="49"/>
      <c r="W75" s="49"/>
      <c r="X75" s="49"/>
      <c r="Y75" s="49"/>
      <c r="Z75" s="49"/>
      <c r="AA75" s="49"/>
      <c r="AB75" s="49"/>
      <c r="AC75" s="49"/>
      <c r="AD75" s="49"/>
      <c r="AE75" s="49"/>
      <c r="AF75" s="49"/>
      <c r="AG75" s="49"/>
    </row>
    <row r="76" spans="15:33" x14ac:dyDescent="0.4">
      <c r="O76" s="49"/>
      <c r="P76" s="49"/>
      <c r="Q76" s="59"/>
      <c r="R76" s="60"/>
      <c r="S76" s="60">
        <f t="shared" si="8"/>
        <v>1</v>
      </c>
      <c r="T76" s="49"/>
      <c r="U76" s="49"/>
      <c r="V76" s="49"/>
      <c r="W76" s="49"/>
      <c r="X76" s="49"/>
      <c r="Y76" s="49"/>
      <c r="Z76" s="49"/>
      <c r="AA76" s="49"/>
      <c r="AB76" s="49"/>
      <c r="AC76" s="49"/>
      <c r="AD76" s="49"/>
      <c r="AE76" s="49"/>
      <c r="AF76" s="49"/>
      <c r="AG76" s="49"/>
    </row>
    <row r="77" spans="15:33" x14ac:dyDescent="0.4">
      <c r="O77" s="49"/>
      <c r="P77" s="49"/>
      <c r="Q77" s="59"/>
      <c r="R77" s="60"/>
      <c r="S77" s="60">
        <f t="shared" si="8"/>
        <v>1</v>
      </c>
      <c r="T77" s="49"/>
      <c r="U77" s="49"/>
      <c r="V77" s="49"/>
      <c r="W77" s="49"/>
      <c r="X77" s="49"/>
      <c r="Y77" s="49"/>
      <c r="Z77" s="49"/>
      <c r="AA77" s="49"/>
      <c r="AB77" s="49"/>
      <c r="AC77" s="49"/>
      <c r="AD77" s="49"/>
      <c r="AE77" s="49"/>
      <c r="AF77" s="49"/>
      <c r="AG77" s="49"/>
    </row>
    <row r="78" spans="15:33" x14ac:dyDescent="0.4">
      <c r="O78" s="49"/>
      <c r="P78" s="49"/>
      <c r="Q78" s="59"/>
      <c r="R78" s="60"/>
      <c r="S78" s="60">
        <f t="shared" si="8"/>
        <v>1</v>
      </c>
      <c r="T78" s="49"/>
      <c r="U78" s="49"/>
      <c r="V78" s="49"/>
      <c r="W78" s="49"/>
      <c r="X78" s="49"/>
      <c r="Y78" s="49"/>
      <c r="Z78" s="49"/>
      <c r="AA78" s="49"/>
      <c r="AB78" s="49"/>
      <c r="AC78" s="49"/>
      <c r="AD78" s="49"/>
      <c r="AE78" s="49"/>
      <c r="AF78" s="49"/>
      <c r="AG78" s="49"/>
    </row>
    <row r="79" spans="15:33" x14ac:dyDescent="0.4">
      <c r="O79" s="49"/>
      <c r="P79" s="49"/>
      <c r="Q79" s="59"/>
      <c r="R79" s="60"/>
      <c r="S79" s="60">
        <f t="shared" si="8"/>
        <v>1</v>
      </c>
      <c r="T79" s="49"/>
      <c r="U79" s="49"/>
      <c r="V79" s="49"/>
      <c r="W79" s="49"/>
      <c r="X79" s="49"/>
      <c r="Y79" s="49"/>
      <c r="Z79" s="49"/>
      <c r="AA79" s="49"/>
      <c r="AB79" s="49"/>
      <c r="AC79" s="49"/>
      <c r="AD79" s="49"/>
      <c r="AE79" s="49"/>
      <c r="AF79" s="49"/>
      <c r="AG79" s="49"/>
    </row>
    <row r="80" spans="15:33" x14ac:dyDescent="0.4">
      <c r="O80" s="49"/>
      <c r="P80" s="49"/>
      <c r="Q80" s="59"/>
      <c r="R80" s="60"/>
      <c r="S80" s="60">
        <f t="shared" si="8"/>
        <v>1</v>
      </c>
      <c r="T80" s="49"/>
      <c r="U80" s="49"/>
      <c r="V80" s="49"/>
      <c r="W80" s="49"/>
      <c r="X80" s="49"/>
      <c r="Y80" s="49"/>
      <c r="Z80" s="49"/>
      <c r="AA80" s="49"/>
      <c r="AB80" s="49"/>
      <c r="AC80" s="49"/>
      <c r="AD80" s="49"/>
      <c r="AE80" s="49"/>
      <c r="AF80" s="49"/>
      <c r="AG80" s="49"/>
    </row>
    <row r="81" spans="15:33" x14ac:dyDescent="0.4">
      <c r="O81" s="49"/>
      <c r="P81" s="49"/>
      <c r="Q81" s="59"/>
      <c r="R81" s="60"/>
      <c r="S81" s="60">
        <f t="shared" si="8"/>
        <v>1</v>
      </c>
      <c r="T81" s="49"/>
      <c r="U81" s="49"/>
      <c r="V81" s="49"/>
      <c r="W81" s="49"/>
      <c r="X81" s="49"/>
      <c r="Y81" s="49"/>
      <c r="Z81" s="49"/>
      <c r="AA81" s="49"/>
      <c r="AB81" s="49"/>
      <c r="AC81" s="49"/>
      <c r="AD81" s="49"/>
      <c r="AE81" s="49"/>
      <c r="AF81" s="49"/>
      <c r="AG81" s="49"/>
    </row>
    <row r="82" spans="15:33" x14ac:dyDescent="0.4">
      <c r="O82" s="49"/>
      <c r="P82" s="49"/>
      <c r="Q82" s="59"/>
      <c r="R82" s="60"/>
      <c r="S82" s="60">
        <f t="shared" si="8"/>
        <v>1</v>
      </c>
      <c r="T82" s="49"/>
      <c r="U82" s="49"/>
      <c r="V82" s="49"/>
      <c r="W82" s="49"/>
      <c r="X82" s="49"/>
      <c r="Y82" s="49"/>
      <c r="Z82" s="49"/>
      <c r="AA82" s="49"/>
      <c r="AB82" s="49"/>
      <c r="AC82" s="49"/>
      <c r="AD82" s="49"/>
      <c r="AE82" s="49"/>
      <c r="AF82" s="49"/>
      <c r="AG82" s="49"/>
    </row>
    <row r="83" spans="15:33" x14ac:dyDescent="0.4">
      <c r="O83" s="49"/>
      <c r="P83" s="49"/>
      <c r="Q83" s="59"/>
      <c r="R83" s="60"/>
      <c r="S83" s="60">
        <f t="shared" ref="S83:S100" si="10">MONTH(Q83)</f>
        <v>1</v>
      </c>
      <c r="T83" s="49"/>
      <c r="U83" s="49"/>
      <c r="V83" s="49"/>
      <c r="W83" s="49"/>
      <c r="X83" s="49"/>
      <c r="Y83" s="49"/>
      <c r="Z83" s="49"/>
      <c r="AA83" s="49"/>
      <c r="AB83" s="49"/>
      <c r="AC83" s="49"/>
      <c r="AD83" s="49"/>
      <c r="AE83" s="49"/>
      <c r="AF83" s="49"/>
      <c r="AG83" s="49"/>
    </row>
    <row r="84" spans="15:33" x14ac:dyDescent="0.4">
      <c r="O84" s="49"/>
      <c r="P84" s="49"/>
      <c r="Q84" s="59"/>
      <c r="R84" s="60"/>
      <c r="S84" s="60">
        <f t="shared" si="10"/>
        <v>1</v>
      </c>
      <c r="T84" s="49"/>
      <c r="U84" s="49"/>
      <c r="V84" s="49"/>
      <c r="W84" s="49"/>
      <c r="X84" s="49"/>
      <c r="Y84" s="49"/>
      <c r="Z84" s="49"/>
      <c r="AA84" s="49"/>
      <c r="AB84" s="49"/>
      <c r="AC84" s="49"/>
      <c r="AD84" s="49"/>
      <c r="AE84" s="49"/>
      <c r="AF84" s="49"/>
      <c r="AG84" s="49"/>
    </row>
    <row r="85" spans="15:33" x14ac:dyDescent="0.4">
      <c r="O85" s="49"/>
      <c r="P85" s="49"/>
      <c r="Q85" s="59"/>
      <c r="R85" s="60"/>
      <c r="S85" s="60">
        <f t="shared" si="10"/>
        <v>1</v>
      </c>
      <c r="T85" s="49"/>
      <c r="U85" s="49"/>
      <c r="V85" s="49"/>
      <c r="W85" s="49"/>
      <c r="X85" s="49"/>
      <c r="Y85" s="49"/>
      <c r="Z85" s="49"/>
      <c r="AA85" s="49"/>
      <c r="AB85" s="49"/>
      <c r="AC85" s="49"/>
      <c r="AD85" s="49"/>
      <c r="AE85" s="49"/>
      <c r="AF85" s="49"/>
      <c r="AG85" s="49"/>
    </row>
    <row r="86" spans="15:33" x14ac:dyDescent="0.4">
      <c r="O86" s="49"/>
      <c r="P86" s="49"/>
      <c r="Q86" s="59"/>
      <c r="R86" s="60"/>
      <c r="S86" s="60">
        <f t="shared" si="10"/>
        <v>1</v>
      </c>
      <c r="T86" s="49"/>
      <c r="U86" s="49"/>
      <c r="V86" s="49"/>
      <c r="W86" s="49"/>
      <c r="X86" s="49"/>
      <c r="Y86" s="49"/>
      <c r="Z86" s="49"/>
      <c r="AA86" s="49"/>
      <c r="AB86" s="49"/>
      <c r="AC86" s="49"/>
      <c r="AD86" s="49"/>
      <c r="AE86" s="49"/>
      <c r="AF86" s="49"/>
      <c r="AG86" s="49"/>
    </row>
    <row r="87" spans="15:33" x14ac:dyDescent="0.4">
      <c r="O87" s="49"/>
      <c r="P87" s="49"/>
      <c r="Q87" s="59"/>
      <c r="R87" s="60"/>
      <c r="S87" s="60">
        <f t="shared" si="10"/>
        <v>1</v>
      </c>
      <c r="T87" s="49"/>
      <c r="U87" s="49"/>
      <c r="V87" s="49"/>
      <c r="W87" s="49"/>
      <c r="X87" s="49"/>
      <c r="Y87" s="49"/>
      <c r="Z87" s="49"/>
      <c r="AA87" s="49"/>
      <c r="AB87" s="49"/>
      <c r="AC87" s="49"/>
      <c r="AD87" s="49"/>
      <c r="AE87" s="49"/>
      <c r="AF87" s="49"/>
      <c r="AG87" s="49"/>
    </row>
    <row r="88" spans="15:33" x14ac:dyDescent="0.4">
      <c r="O88" s="49"/>
      <c r="P88" s="49"/>
      <c r="Q88" s="59"/>
      <c r="R88" s="60"/>
      <c r="S88" s="60">
        <f t="shared" si="10"/>
        <v>1</v>
      </c>
      <c r="T88" s="49"/>
      <c r="U88" s="49"/>
      <c r="V88" s="49"/>
      <c r="W88" s="49"/>
      <c r="X88" s="49"/>
      <c r="Y88" s="49"/>
      <c r="Z88" s="49"/>
      <c r="AA88" s="49"/>
      <c r="AB88" s="49"/>
      <c r="AC88" s="49"/>
      <c r="AD88" s="49"/>
      <c r="AE88" s="49"/>
      <c r="AF88" s="49"/>
      <c r="AG88" s="49"/>
    </row>
    <row r="89" spans="15:33" x14ac:dyDescent="0.4">
      <c r="O89" s="49"/>
      <c r="P89" s="49"/>
      <c r="Q89" s="59"/>
      <c r="R89" s="60"/>
      <c r="S89" s="60">
        <f t="shared" si="10"/>
        <v>1</v>
      </c>
      <c r="T89" s="49"/>
      <c r="U89" s="49"/>
      <c r="V89" s="49"/>
      <c r="W89" s="49"/>
      <c r="X89" s="49"/>
      <c r="Y89" s="49"/>
      <c r="Z89" s="49"/>
      <c r="AA89" s="49"/>
      <c r="AB89" s="49"/>
      <c r="AC89" s="49"/>
      <c r="AD89" s="49"/>
      <c r="AE89" s="49"/>
      <c r="AF89" s="49"/>
      <c r="AG89" s="49"/>
    </row>
    <row r="90" spans="15:33" x14ac:dyDescent="0.4">
      <c r="O90" s="49"/>
      <c r="P90" s="49"/>
      <c r="Q90" s="59"/>
      <c r="R90" s="60"/>
      <c r="S90" s="60">
        <f t="shared" si="10"/>
        <v>1</v>
      </c>
      <c r="T90" s="49"/>
      <c r="U90" s="49"/>
      <c r="V90" s="49"/>
      <c r="W90" s="49"/>
      <c r="X90" s="49"/>
      <c r="Y90" s="49"/>
      <c r="Z90" s="49"/>
      <c r="AA90" s="49"/>
      <c r="AB90" s="49"/>
      <c r="AC90" s="49"/>
      <c r="AD90" s="49"/>
      <c r="AE90" s="49"/>
      <c r="AF90" s="49"/>
      <c r="AG90" s="49"/>
    </row>
    <row r="91" spans="15:33" x14ac:dyDescent="0.4">
      <c r="O91" s="49"/>
      <c r="P91" s="49"/>
      <c r="Q91" s="59"/>
      <c r="R91" s="60"/>
      <c r="S91" s="60">
        <f t="shared" si="10"/>
        <v>1</v>
      </c>
      <c r="T91" s="49"/>
      <c r="U91" s="49"/>
      <c r="V91" s="49"/>
      <c r="W91" s="49"/>
      <c r="X91" s="49"/>
      <c r="Y91" s="49"/>
      <c r="Z91" s="49"/>
      <c r="AA91" s="49"/>
      <c r="AB91" s="49"/>
      <c r="AC91" s="49"/>
      <c r="AD91" s="49"/>
      <c r="AE91" s="49"/>
      <c r="AF91" s="49"/>
      <c r="AG91" s="49"/>
    </row>
    <row r="92" spans="15:33" x14ac:dyDescent="0.4">
      <c r="O92" s="49"/>
      <c r="P92" s="49"/>
      <c r="Q92" s="59"/>
      <c r="R92" s="60"/>
      <c r="S92" s="60">
        <f t="shared" si="10"/>
        <v>1</v>
      </c>
      <c r="T92" s="49"/>
      <c r="U92" s="49"/>
      <c r="V92" s="49"/>
      <c r="W92" s="49"/>
      <c r="X92" s="49"/>
      <c r="Y92" s="49"/>
      <c r="Z92" s="49"/>
      <c r="AA92" s="49"/>
      <c r="AB92" s="49"/>
      <c r="AC92" s="49"/>
      <c r="AD92" s="49"/>
      <c r="AE92" s="49"/>
      <c r="AF92" s="49"/>
      <c r="AG92" s="49"/>
    </row>
    <row r="93" spans="15:33" x14ac:dyDescent="0.4">
      <c r="O93" s="49"/>
      <c r="P93" s="49"/>
      <c r="Q93" s="59"/>
      <c r="R93" s="60"/>
      <c r="S93" s="60">
        <f t="shared" si="10"/>
        <v>1</v>
      </c>
      <c r="T93" s="49"/>
      <c r="U93" s="49"/>
      <c r="V93" s="49"/>
      <c r="W93" s="49"/>
      <c r="X93" s="49"/>
      <c r="Y93" s="49"/>
      <c r="Z93" s="49"/>
      <c r="AA93" s="49"/>
      <c r="AB93" s="49"/>
      <c r="AC93" s="49"/>
      <c r="AD93" s="49"/>
      <c r="AE93" s="49"/>
      <c r="AF93" s="49"/>
      <c r="AG93" s="49"/>
    </row>
    <row r="94" spans="15:33" x14ac:dyDescent="0.4">
      <c r="O94" s="49"/>
      <c r="P94" s="49"/>
      <c r="Q94" s="59"/>
      <c r="R94" s="60"/>
      <c r="S94" s="60">
        <f t="shared" si="10"/>
        <v>1</v>
      </c>
      <c r="T94" s="49"/>
      <c r="U94" s="49"/>
      <c r="V94" s="49"/>
      <c r="W94" s="49"/>
      <c r="X94" s="49"/>
      <c r="Y94" s="49"/>
      <c r="Z94" s="49"/>
      <c r="AA94" s="49"/>
      <c r="AB94" s="49"/>
      <c r="AC94" s="49"/>
      <c r="AD94" s="49"/>
      <c r="AE94" s="49"/>
      <c r="AF94" s="49"/>
      <c r="AG94" s="49"/>
    </row>
    <row r="95" spans="15:33" x14ac:dyDescent="0.4">
      <c r="O95" s="49"/>
      <c r="P95" s="49"/>
      <c r="Q95" s="59"/>
      <c r="R95" s="60"/>
      <c r="S95" s="60">
        <f t="shared" si="10"/>
        <v>1</v>
      </c>
      <c r="T95" s="49"/>
      <c r="U95" s="49"/>
      <c r="V95" s="49"/>
      <c r="W95" s="49"/>
      <c r="X95" s="49"/>
      <c r="Y95" s="49"/>
      <c r="Z95" s="49"/>
      <c r="AA95" s="49"/>
      <c r="AB95" s="49"/>
      <c r="AC95" s="49"/>
      <c r="AD95" s="49"/>
      <c r="AE95" s="49"/>
      <c r="AF95" s="49"/>
      <c r="AG95" s="49"/>
    </row>
    <row r="96" spans="15:33" x14ac:dyDescent="0.4">
      <c r="O96" s="49"/>
      <c r="P96" s="49"/>
      <c r="Q96" s="59"/>
      <c r="R96" s="60"/>
      <c r="S96" s="60">
        <f t="shared" si="10"/>
        <v>1</v>
      </c>
      <c r="T96" s="49"/>
      <c r="U96" s="49"/>
      <c r="V96" s="49"/>
      <c r="W96" s="49"/>
      <c r="X96" s="49"/>
      <c r="Y96" s="49"/>
      <c r="Z96" s="49"/>
      <c r="AA96" s="49"/>
      <c r="AB96" s="49"/>
      <c r="AC96" s="49"/>
      <c r="AD96" s="49"/>
      <c r="AE96" s="49"/>
      <c r="AF96" s="49"/>
      <c r="AG96" s="49"/>
    </row>
    <row r="97" spans="15:33" x14ac:dyDescent="0.4">
      <c r="O97" s="49"/>
      <c r="P97" s="49"/>
      <c r="Q97" s="59"/>
      <c r="R97" s="60"/>
      <c r="S97" s="60">
        <f t="shared" si="10"/>
        <v>1</v>
      </c>
      <c r="T97" s="49"/>
      <c r="U97" s="49"/>
      <c r="V97" s="49"/>
      <c r="W97" s="49"/>
      <c r="X97" s="49"/>
      <c r="Y97" s="49"/>
      <c r="Z97" s="49"/>
      <c r="AA97" s="49"/>
      <c r="AB97" s="49"/>
      <c r="AC97" s="49"/>
      <c r="AD97" s="49"/>
      <c r="AE97" s="49"/>
      <c r="AF97" s="49"/>
      <c r="AG97" s="49"/>
    </row>
    <row r="98" spans="15:33" x14ac:dyDescent="0.4">
      <c r="O98" s="49"/>
      <c r="P98" s="49"/>
      <c r="Q98" s="59"/>
      <c r="R98" s="60"/>
      <c r="S98" s="60">
        <f t="shared" si="10"/>
        <v>1</v>
      </c>
      <c r="T98" s="49"/>
      <c r="U98" s="49"/>
      <c r="V98" s="49"/>
      <c r="W98" s="49"/>
      <c r="X98" s="49"/>
      <c r="Y98" s="49"/>
      <c r="Z98" s="49"/>
      <c r="AA98" s="49"/>
      <c r="AB98" s="49"/>
      <c r="AC98" s="49"/>
      <c r="AD98" s="49"/>
      <c r="AE98" s="49"/>
      <c r="AF98" s="49"/>
      <c r="AG98" s="49"/>
    </row>
    <row r="99" spans="15:33" x14ac:dyDescent="0.4">
      <c r="O99" s="49"/>
      <c r="P99" s="49"/>
      <c r="Q99" s="59"/>
      <c r="R99" s="60"/>
      <c r="S99" s="60">
        <f t="shared" si="10"/>
        <v>1</v>
      </c>
      <c r="T99" s="49"/>
      <c r="U99" s="49"/>
      <c r="V99" s="49"/>
      <c r="W99" s="49"/>
      <c r="X99" s="49"/>
      <c r="Y99" s="49"/>
      <c r="Z99" s="49"/>
      <c r="AA99" s="49"/>
      <c r="AB99" s="49"/>
      <c r="AC99" s="49"/>
      <c r="AD99" s="49"/>
      <c r="AE99" s="49"/>
      <c r="AF99" s="49"/>
      <c r="AG99" s="49"/>
    </row>
    <row r="100" spans="15:33" x14ac:dyDescent="0.4">
      <c r="Q100" s="61"/>
      <c r="R100" s="62"/>
      <c r="S100" s="62">
        <f t="shared" si="10"/>
        <v>1</v>
      </c>
    </row>
  </sheetData>
  <sheetProtection algorithmName="SHA-512" hashValue="2IOYhMGktzMWF9C5zFdyTCdqa8zsk6xvNBaAnRz/MvmMlOAT2qE4glAAIneduf+fs7SwPFsPkud74YGpA3SbbQ==" saltValue="IcA87Bq06C4AgyRMI4BwnA==" spinCount="100000" sheet="1" objects="1" scenarios="1"/>
  <protectedRanges>
    <protectedRange algorithmName="SHA-512" hashValue="6bZtAFhfvvieHLj+JJ/7SeSjbZdrCZ9c7FSqgzyExt7KRBy4bdwfSFzXBqm5TNi6oeK4ciTTyIa7E/xryj5JLQ==" saltValue="D/Et6meu1NBuAyMqyT9BBA==" spinCount="100000" sqref="B5" name="填写单元格"/>
  </protectedRanges>
  <mergeCells count="1">
    <mergeCell ref="B3:B4"/>
  </mergeCells>
  <phoneticPr fontId="1" type="noConversion"/>
  <conditionalFormatting sqref="D5:J5">
    <cfRule type="expression" dxfId="11" priority="13">
      <formula>MONTH(D$5)&lt;&gt;MONTH(#REF!)</formula>
    </cfRule>
  </conditionalFormatting>
  <conditionalFormatting sqref="D11:J11">
    <cfRule type="expression" dxfId="10" priority="14">
      <formula>MONTH(D$11)&lt;&gt;MONTH(#REF!)</formula>
    </cfRule>
  </conditionalFormatting>
  <conditionalFormatting sqref="D17:J17">
    <cfRule type="expression" dxfId="9" priority="15">
      <formula>MONTH(D$17)&lt;&gt;MONTH(#REF!)</formula>
    </cfRule>
  </conditionalFormatting>
  <conditionalFormatting sqref="D23:J23">
    <cfRule type="expression" dxfId="8" priority="16">
      <formula>MONTH(D$23)&lt;&gt;MONTH(#REF!)</formula>
    </cfRule>
  </conditionalFormatting>
  <conditionalFormatting sqref="D29:J29">
    <cfRule type="expression" dxfId="7" priority="17">
      <formula>MONTH(D$29)&lt;&gt;MONTH(#REF!)</formula>
    </cfRule>
  </conditionalFormatting>
  <conditionalFormatting sqref="D35:J35">
    <cfRule type="expression" dxfId="6" priority="18">
      <formula>MONTH(D$35)&lt;&gt;MONTH(#REF!)</formula>
    </cfRule>
  </conditionalFormatting>
  <dataValidations count="1">
    <dataValidation type="list" allowBlank="1" showInputMessage="1" showErrorMessage="1" sqref="B5" xr:uid="{9B860CEE-A01C-4751-892B-5468D3F7476A}">
      <formula1>唯一家庭</formula1>
    </dataValidation>
  </dataValidations>
  <printOptions horizontalCentered="1" verticalCentered="1"/>
  <pageMargins left="0.11811023622047245" right="0.11811023622047245" top="0.18" bottom="0.11811023622047245" header="0.14000000000000001" footer="0.11811023622047245"/>
  <pageSetup paperSize="9" scale="67"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6CDF7-16C0-4C9F-9CD7-BBDFADE990C3}">
  <sheetPr codeName="Sheet3">
    <tabColor rgb="FF2EABB8"/>
    <pageSetUpPr fitToPage="1"/>
  </sheetPr>
  <dimension ref="B1:AZ40"/>
  <sheetViews>
    <sheetView showGridLines="0" topLeftCell="B11" zoomScaleNormal="100" workbookViewId="0">
      <selection activeCell="U22" sqref="U22"/>
    </sheetView>
  </sheetViews>
  <sheetFormatPr defaultColWidth="9.33203125" defaultRowHeight="16.2" x14ac:dyDescent="0.4"/>
  <cols>
    <col min="1" max="1" width="0.88671875" style="38" customWidth="1"/>
    <col min="2" max="2" width="19.33203125" style="38" customWidth="1"/>
    <col min="3" max="3" width="5.33203125" style="38" customWidth="1"/>
    <col min="4" max="4" width="7.109375" style="38" customWidth="1"/>
    <col min="5" max="5" width="30.33203125" style="38" customWidth="1"/>
    <col min="6" max="6" width="15.77734375" style="38" customWidth="1"/>
    <col min="7" max="7" width="14.109375" style="38" customWidth="1"/>
    <col min="8" max="8" width="18.33203125" style="38" customWidth="1"/>
    <col min="9" max="9" width="16.33203125" style="38" customWidth="1"/>
    <col min="10" max="10" width="15.21875" style="38" customWidth="1"/>
    <col min="11" max="11" width="12.44140625" style="38" customWidth="1"/>
    <col min="12" max="12" width="13.44140625" style="20" customWidth="1"/>
    <col min="13" max="13" width="10.77734375" style="38" customWidth="1"/>
    <col min="14" max="14" width="2.88671875" style="38" customWidth="1"/>
    <col min="15" max="15" width="7.21875" style="38" customWidth="1"/>
    <col min="16" max="16" width="3.44140625" style="38" customWidth="1"/>
    <col min="17" max="17" width="14.21875" style="38" customWidth="1"/>
    <col min="18" max="18" width="9.33203125" style="38"/>
    <col min="19" max="19" width="0.88671875" style="38" customWidth="1"/>
    <col min="20" max="21" width="9.33203125" style="38"/>
    <col min="22" max="23" width="9.33203125" style="38" hidden="1" customWidth="1"/>
    <col min="24" max="24" width="10.44140625" style="38" hidden="1" customWidth="1"/>
    <col min="25" max="25" width="27" style="38" hidden="1" customWidth="1"/>
    <col min="26" max="26" width="41.109375" style="38" hidden="1" customWidth="1"/>
    <col min="27" max="27" width="12" style="38" hidden="1" customWidth="1"/>
    <col min="28" max="28" width="23" style="38" hidden="1" customWidth="1"/>
    <col min="29" max="29" width="22.33203125" style="38" hidden="1" customWidth="1"/>
    <col min="30" max="30" width="19.77734375" style="38" hidden="1" customWidth="1"/>
    <col min="31" max="34" width="9.33203125" style="38" hidden="1" customWidth="1"/>
    <col min="35" max="35" width="11.6640625" style="38" hidden="1" customWidth="1"/>
    <col min="36" max="36" width="9.33203125" style="38" hidden="1" customWidth="1"/>
    <col min="37" max="37" width="28.77734375" style="38" hidden="1" customWidth="1"/>
    <col min="38" max="38" width="10.77734375" style="38" hidden="1" customWidth="1"/>
    <col min="39" max="52" width="9.33203125" style="38" hidden="1" customWidth="1"/>
    <col min="53" max="53" width="9.33203125" style="38" customWidth="1"/>
    <col min="54" max="16384" width="9.33203125" style="38"/>
  </cols>
  <sheetData>
    <row r="1" spans="2:42" ht="9.75" customHeight="1" x14ac:dyDescent="0.5">
      <c r="V1" s="37" t="str">
        <f>家庭概览!P2</f>
        <v>萧远山</v>
      </c>
      <c r="W1" s="38" t="str" cm="1">
        <f t="array" ref="W1:W3">_xlfn._xlws.FILTER(V1:V5,V1:V5&lt;&gt;0)</f>
        <v>萧远山</v>
      </c>
      <c r="X1" s="38" t="str" cm="1">
        <f t="array" aca="1" ref="X1:X3" ca="1">OFFSET(W1,,,COUNTA(W1:W5),)</f>
        <v>萧远山</v>
      </c>
      <c r="Z1" s="41" t="s">
        <v>43</v>
      </c>
      <c r="AA1" s="41" t="str" cm="1">
        <f t="array" ref="AA1">_xlfn.TEXTJOIN(";"&amp;CHAR(10),TRUE,_xlfn._xlws.FILTER(保单录入!$W$3:$W$2024,保单录入!$P$3:$P$2024=个人信息!$B$5,""))</f>
        <v>聚贤庄上外皮组织损伤</v>
      </c>
      <c r="AB1" s="17" t="s">
        <v>98</v>
      </c>
    </row>
    <row r="2" spans="2:42" ht="53.25" customHeight="1" x14ac:dyDescent="0.5">
      <c r="B2" s="111"/>
      <c r="C2" s="35"/>
      <c r="D2" s="15"/>
      <c r="V2" s="37" t="str">
        <f>家庭概览!P3</f>
        <v>萧峰</v>
      </c>
      <c r="W2" s="38" t="str">
        <v>萧峰</v>
      </c>
      <c r="X2" s="38" t="str">
        <f ca="1"/>
        <v>萧峰</v>
      </c>
      <c r="Z2" s="42" t="s">
        <v>44</v>
      </c>
      <c r="AA2" s="42" t="str" cm="1">
        <f t="array" ref="AA2">_xlfn.TEXTJOIN(";"&amp;CHAR(10),TRUE,_xlfn._xlws.FILTER(保单录入!$X$3:$X$2024,保单录入!$P$3:$P$2024=个人信息!$B$5,""))</f>
        <v>2023住院报销5万</v>
      </c>
      <c r="AB2" s="16" t="str">
        <f>IF(I32="隐藏","****",_xlfn.XLOOKUP(B5,保单录入!$P$3:$P$2024,保单录入!$AH$3:$AH$2024))</f>
        <v>男</v>
      </c>
    </row>
    <row r="3" spans="2:42" ht="43.5" customHeight="1" x14ac:dyDescent="0.4">
      <c r="V3" s="37" t="str">
        <f>家庭概览!P4</f>
        <v>阿朱</v>
      </c>
      <c r="W3" s="38" t="str">
        <v>阿朱</v>
      </c>
      <c r="X3" s="38" t="str">
        <f ca="1"/>
        <v>阿朱</v>
      </c>
      <c r="AB3" s="16" t="str">
        <f ca="1">IF(I32="隐藏","*****",_xlfn.XLOOKUP(B5,保单录入!$P$3:$P$2024,保单录入!$AJ$3:$AJ$2024)&amp;"岁")</f>
        <v>35岁</v>
      </c>
    </row>
    <row r="4" spans="2:42" ht="9.75" customHeight="1" thickBot="1" x14ac:dyDescent="0.65">
      <c r="B4" s="24"/>
      <c r="D4" s="6"/>
      <c r="E4" s="6"/>
      <c r="F4" s="6"/>
      <c r="G4" s="6"/>
      <c r="H4" s="6"/>
      <c r="I4" s="6"/>
      <c r="J4" s="6"/>
      <c r="L4" s="7"/>
      <c r="M4" s="32"/>
      <c r="V4" s="37">
        <f>家庭概览!P5</f>
        <v>0</v>
      </c>
      <c r="AB4" s="16" t="str">
        <f>IF(I32="隐藏","****",IF(_xlfn.XLOOKUP(B5,保单录入!$P$3:$P$2024,保单录入!$Q$3:$Q$2024,"未记录")=0,"未记录",_xlfn.XLOOKUP(B5,保单录入!$P$3:$P$2024,保单录入!$Q$3:$Q$2024,"未记录")))</f>
        <v>13001666666</v>
      </c>
    </row>
    <row r="5" spans="2:42" ht="42.75" customHeight="1" thickBot="1" x14ac:dyDescent="0.45">
      <c r="B5" s="31" t="s">
        <v>194</v>
      </c>
      <c r="D5" s="104"/>
      <c r="E5" s="104"/>
      <c r="F5" s="104"/>
      <c r="G5" s="104"/>
      <c r="H5" s="104"/>
      <c r="I5" s="105"/>
      <c r="J5" s="105"/>
      <c r="L5" s="5"/>
      <c r="V5" s="37">
        <f>家庭概览!P6</f>
        <v>0</v>
      </c>
      <c r="AB5" s="29" t="str">
        <f ca="1">"保单相守"&amp;V8&amp;"载"</f>
        <v>保单相守壹拾伍载</v>
      </c>
    </row>
    <row r="6" spans="2:42" ht="39.9" customHeight="1" x14ac:dyDescent="0.4">
      <c r="D6" s="5"/>
      <c r="E6" s="5"/>
      <c r="F6" s="5"/>
      <c r="G6" s="5"/>
      <c r="H6" s="5"/>
      <c r="I6" s="5"/>
      <c r="J6" s="5"/>
      <c r="L6" s="5"/>
    </row>
    <row r="7" spans="2:42" ht="39.9" customHeight="1" x14ac:dyDescent="0.4">
      <c r="D7" s="5"/>
      <c r="E7" s="5"/>
      <c r="F7" s="5"/>
      <c r="G7" s="5"/>
      <c r="H7" s="5"/>
      <c r="I7" s="5"/>
      <c r="J7" s="5"/>
      <c r="L7" s="5"/>
      <c r="V7" s="46" t="s">
        <v>101</v>
      </c>
      <c r="W7" s="47"/>
      <c r="X7"/>
    </row>
    <row r="8" spans="2:42" ht="39.9" customHeight="1" x14ac:dyDescent="0.4">
      <c r="D8" s="5"/>
      <c r="E8" s="5"/>
      <c r="F8" s="5"/>
      <c r="G8" s="5"/>
      <c r="H8" s="5"/>
      <c r="I8" s="5"/>
      <c r="J8" s="5"/>
      <c r="L8" s="5"/>
      <c r="V8" s="48" t="str">
        <f ca="1">NUMBERSTRING(_xlfn.XLOOKUP(B5,保单录入!$P$3:$P$2024,保单录入!$AJ$3:$AJ$2024)-MIN($K$14:$K$28),2)</f>
        <v>壹拾伍</v>
      </c>
      <c r="W8" s="47"/>
      <c r="X8"/>
    </row>
    <row r="9" spans="2:42" ht="39.9" customHeight="1" x14ac:dyDescent="0.4">
      <c r="D9" s="5"/>
      <c r="E9" s="5"/>
      <c r="F9" s="5"/>
      <c r="G9" s="5"/>
      <c r="H9" s="5"/>
      <c r="I9" s="5"/>
      <c r="J9" s="5"/>
      <c r="L9" s="5"/>
    </row>
    <row r="10" spans="2:42" ht="63.75" customHeight="1" x14ac:dyDescent="0.4">
      <c r="D10" s="5"/>
      <c r="E10" s="5"/>
      <c r="F10" s="5"/>
      <c r="G10" s="5"/>
      <c r="H10" s="5"/>
      <c r="I10" s="5"/>
      <c r="J10" s="5"/>
      <c r="L10" s="5"/>
    </row>
    <row r="12" spans="2:42" x14ac:dyDescent="0.4">
      <c r="D12" s="104"/>
      <c r="E12" s="104"/>
      <c r="F12" s="104"/>
      <c r="G12" s="104"/>
      <c r="H12" s="104"/>
      <c r="I12" s="105"/>
      <c r="J12" s="105"/>
      <c r="L12" s="5"/>
    </row>
    <row r="13" spans="2:42" ht="35.4" customHeight="1" thickBot="1" x14ac:dyDescent="0.45">
      <c r="B13" s="150"/>
      <c r="D13" s="123" t="s">
        <v>40</v>
      </c>
      <c r="E13" s="123" t="s">
        <v>19</v>
      </c>
      <c r="F13" s="123" t="s">
        <v>3</v>
      </c>
      <c r="G13" s="123" t="s">
        <v>41</v>
      </c>
      <c r="H13" s="123" t="s">
        <v>5</v>
      </c>
      <c r="I13" s="123" t="s">
        <v>18</v>
      </c>
      <c r="J13" s="124" t="s">
        <v>181</v>
      </c>
      <c r="K13" s="123" t="s">
        <v>157</v>
      </c>
      <c r="L13" s="123" t="s">
        <v>20</v>
      </c>
      <c r="M13" s="123" t="s">
        <v>42</v>
      </c>
      <c r="V13" s="38" t="str">
        <f>B5</f>
        <v>萧峰</v>
      </c>
      <c r="X13" s="38" t="s">
        <v>72</v>
      </c>
      <c r="Y13" s="36" t="str">
        <f>_xlfn.TEXTJOIN("+",TRUE,X14:X28)</f>
        <v>特别事宜百万医疗免赔额1万*+百万医疗*2000000+70岁保证领取*3000000+70岁预期领取*6000000+保单权益南宋旅居权益*+南宋外交豁免保单权益*+重症*1000000+中症*500000+轻症*300000+60岁后额外重疾*1000000+身故*1000000+特别事宜甲状腺免责*+【每年】70~80岁保证领取*250000+身故*10000000+70岁前身故额外*5000000+意外伤害*500000+意外医疗(猫抓狗咬)*30000+住院医疗*10000</v>
      </c>
    </row>
    <row r="14" spans="2:42" ht="35.4" customHeight="1" x14ac:dyDescent="0.5">
      <c r="B14" s="150"/>
      <c r="D14" s="125">
        <f>IF(E14&lt;&gt;"",1,"")</f>
        <v>1</v>
      </c>
      <c r="E14" s="126" t="str">
        <f>_xlfn.XLOOKUP(V14,保单录入!$AD$3:$AD$2024,保单录入!$D$3:$D$2024,"")</f>
        <v>大辽e生</v>
      </c>
      <c r="F14" s="125" t="str">
        <f>_xlfn.XLOOKUP(V14,保单录入!$AD$3:$AD$2024,保单录入!$C$3:$C$2024,"")</f>
        <v>医疗险</v>
      </c>
      <c r="G14" s="125" t="str">
        <f>IF(_xlfn.XLOOKUP(V14,保单录入!$AD$3:$AD$2024,保单录入!$B$3:$B$2024,"")=0,"",_xlfn.XLOOKUP(V14,保单录入!$AD$3:$AD$2024,保单录入!$B$3:$B$2024,""))</f>
        <v>大辽保险</v>
      </c>
      <c r="H14" s="127">
        <f>_xlfn.XLOOKUP(V14,保单录入!$AD$3:$AD$2024,保单录入!$E$3:$E$2024,"")</f>
        <v>2000000</v>
      </c>
      <c r="I14" s="127">
        <f>_xlfn.XLOOKUP(V14,保单录入!$AD$3:$AD$2024,保单录入!$F$3:$F$2024,"")</f>
        <v>300</v>
      </c>
      <c r="J14" s="128" t="str">
        <f ca="1">_xlfn.TEXTJOIN(CHAR(10),TRUE,_xlfn.XLOOKUP(V14,保单录入!$AD$3:$AD$2024,保单录入!$AG$3:$AG$2024,""),TEXT(_xlfn.XLOOKUP(V14,保单录入!$AD$3:$AD$2024,保单录入!$H$3:$H$2024,""),"yyyy/mm/dd"))</f>
        <v>4/20
2022/09/01</v>
      </c>
      <c r="K14" s="129">
        <f>_xlfn.XLOOKUP(V14,保单录入!$AD$3:$AD$2024,保单录入!$AI$3:$AI$2024,"")</f>
        <v>32</v>
      </c>
      <c r="L14" s="125" t="str">
        <f>_xlfn.XLOOKUP(V14,保单录入!$AD$3:$AD$2024,保单录入!$K$3:$K$2024,"")</f>
        <v>萧峰</v>
      </c>
      <c r="M14" s="125" t="str">
        <f>IF(_xlfn.XLOOKUP(V14,保单录入!$AD$3:$AD$2024,保单录入!$S$3:$S$2024,"")=0,"",_xlfn.XLOOKUP(V14,保单录入!$AD$3:$AD$2024,保单录入!$S$3:$S$2024,""))</f>
        <v>阿朱</v>
      </c>
      <c r="N14" s="15"/>
      <c r="V14" s="38" t="str">
        <f t="shared" ref="V14:V28" si="0">$V$13&amp;W14</f>
        <v>萧峰1</v>
      </c>
      <c r="W14" s="38">
        <v>1</v>
      </c>
      <c r="X14" s="39" t="str">
        <f>T(_xlfn.XLOOKUP(V14,保单录入!$AD$3:$AD$2024,保单录入!$Y$3:$Y$2024,""))</f>
        <v>特别事宜百万医疗免赔额1万*+百万医疗*2000000</v>
      </c>
      <c r="Y14" s="43" t="str" cm="1">
        <f t="array" ref="Y14:AP14">_xlfn.TEXTSPLIT(Y13,"+")</f>
        <v>特别事宜百万医疗免赔额1万*</v>
      </c>
      <c r="Z14" s="43" t="str">
        <v>百万医疗*2000000</v>
      </c>
      <c r="AA14" s="43" t="str">
        <v>70岁保证领取*3000000</v>
      </c>
      <c r="AB14" s="43" t="str">
        <v>70岁预期领取*6000000</v>
      </c>
      <c r="AC14" s="43" t="str">
        <v>保单权益南宋旅居权益*</v>
      </c>
      <c r="AD14" s="43" t="str">
        <v>南宋外交豁免保单权益*</v>
      </c>
      <c r="AE14" s="43" t="str">
        <v>重症*1000000</v>
      </c>
      <c r="AF14" s="43" t="str">
        <v>中症*500000</v>
      </c>
      <c r="AG14" s="43" t="str">
        <v>轻症*300000</v>
      </c>
      <c r="AH14" s="43" t="str">
        <v>60岁后额外重疾*1000000</v>
      </c>
      <c r="AI14" s="43" t="str">
        <v>身故*1000000</v>
      </c>
      <c r="AJ14" s="43" t="str">
        <v>特别事宜甲状腺免责*</v>
      </c>
      <c r="AK14" s="43" t="str">
        <v>【每年】70~80岁保证领取*250000</v>
      </c>
      <c r="AL14" s="43" t="str">
        <v>身故*10000000</v>
      </c>
      <c r="AM14" s="43" t="str">
        <v>70岁前身故额外*5000000</v>
      </c>
      <c r="AN14" s="43" t="str">
        <v>意外伤害*500000</v>
      </c>
      <c r="AO14" s="43" t="str">
        <v>意外医疗(猫抓狗咬)*30000</v>
      </c>
      <c r="AP14" s="43" t="str">
        <v>住院医疗*10000</v>
      </c>
    </row>
    <row r="15" spans="2:42" ht="35.4" customHeight="1" x14ac:dyDescent="0.5">
      <c r="D15" s="125">
        <f t="shared" ref="D15:D28" si="1">IF(E15&lt;&gt;"",D14+1,"")</f>
        <v>2</v>
      </c>
      <c r="E15" s="126" t="str">
        <f>_xlfn.XLOOKUP(V15,保单录入!$AD$3:$AD$2024,保单录入!$D$3:$D$2024,"")</f>
        <v>南院尊</v>
      </c>
      <c r="F15" s="125" t="str">
        <f>_xlfn.XLOOKUP(V15,保单录入!$AD$3:$AD$2024,保单录入!$C$3:$C$2024,"")</f>
        <v>增额终身寿</v>
      </c>
      <c r="G15" s="125" t="str">
        <f>IF(_xlfn.XLOOKUP(V15,保单录入!$AD$3:$AD$2024,保单录入!$B$3:$B$2024,"")=0,"",_xlfn.XLOOKUP(V15,保单录入!$AD$3:$AD$2024,保单录入!$B$3:$B$2024,""))</f>
        <v>大辽保险</v>
      </c>
      <c r="H15" s="127">
        <f>_xlfn.XLOOKUP(V15,保单录入!$AD$3:$AD$2024,保单录入!$E$3:$E$2024,"")</f>
        <v>6666666</v>
      </c>
      <c r="I15" s="127">
        <f>_xlfn.XLOOKUP(V15,保单录入!$AD$3:$AD$2024,保单录入!$F$3:$F$2024,"")</f>
        <v>1000000</v>
      </c>
      <c r="J15" s="128" t="str">
        <f ca="1">_xlfn.TEXTJOIN(CHAR(10),TRUE,_xlfn.XLOOKUP(V15,保单录入!$AD$3:$AD$2024,保单录入!$AG$3:$AG$2024,""),TEXT(_xlfn.XLOOKUP(V15,保单录入!$AD$3:$AD$2024,保单录入!$H$3:$H$2024,""),"yyyy/mm/dd"))</f>
        <v>2/5
2024/09/10</v>
      </c>
      <c r="K15" s="129">
        <f>_xlfn.XLOOKUP(V15,保单录入!$AD$3:$AD$2024,保单录入!$AI$3:$AI$2024,"")</f>
        <v>34</v>
      </c>
      <c r="L15" s="125" t="str">
        <f>_xlfn.XLOOKUP(V15,保单录入!$AD$3:$AD$2024,保单录入!$K$3:$K$2024,"")</f>
        <v>萧峰</v>
      </c>
      <c r="M15" s="125" t="str">
        <f>IF(_xlfn.XLOOKUP(V15,保单录入!$AD$3:$AD$2024,保单录入!$S$3:$S$2024,"")=0,"",_xlfn.XLOOKUP(V15,保单录入!$AD$3:$AD$2024,保单录入!$S$3:$S$2024,""))</f>
        <v>阿朱</v>
      </c>
      <c r="N15" s="15"/>
      <c r="V15" s="38" t="str">
        <f t="shared" si="0"/>
        <v>萧峰2</v>
      </c>
      <c r="W15" s="38">
        <v>2</v>
      </c>
      <c r="X15" s="39" t="str">
        <f>T(_xlfn.XLOOKUP(V15,保单录入!$AD$3:$AD$2024,保单录入!$Y$3:$Y$2024,""))</f>
        <v>70岁保证领取*3000000+70岁预期领取*6000000+保单权益南宋旅居权益*+南宋外交豁免保单权益*</v>
      </c>
      <c r="Y15" s="34" t="str" cm="1">
        <f t="array" ref="Y15:AP15">_xlfn.MAP(_xlfn.ANCHORARRAY(Y14),_xlfn.LAMBDA(_xlpm.a,IFERROR(_xlfn.REGEXEXTRACT(_xlpm.a, ".*?(?=\d+(?!.*\d)$)|.*"),_xlpm.a)))</f>
        <v>特别事宜百万医疗免赔额1万*</v>
      </c>
      <c r="Z15" s="34" t="str">
        <v>百万医疗*</v>
      </c>
      <c r="AA15" s="34" t="str">
        <v>70岁保证领取*</v>
      </c>
      <c r="AB15" s="34" t="str">
        <v>70岁预期领取*</v>
      </c>
      <c r="AC15" s="34" t="str">
        <v>保单权益南宋旅居权益*</v>
      </c>
      <c r="AD15" s="34" t="str">
        <v>南宋外交豁免保单权益*</v>
      </c>
      <c r="AE15" s="34" t="str">
        <v>重症*</v>
      </c>
      <c r="AF15" s="34" t="str">
        <v>中症*</v>
      </c>
      <c r="AG15" s="34" t="str">
        <v>轻症*</v>
      </c>
      <c r="AH15" s="34" t="str">
        <v>60岁后额外重疾*</v>
      </c>
      <c r="AI15" s="34" t="str">
        <v>身故*</v>
      </c>
      <c r="AJ15" s="34" t="str">
        <v>特别事宜甲状腺免责*</v>
      </c>
      <c r="AK15" s="34" t="str">
        <v>【每年】70~80岁保证领取*</v>
      </c>
      <c r="AL15" s="34" t="str">
        <v>身故*</v>
      </c>
      <c r="AM15" s="34" t="str">
        <v>70岁前身故额外*</v>
      </c>
      <c r="AN15" s="34" t="str">
        <v>意外伤害*</v>
      </c>
      <c r="AO15" s="34" t="str">
        <v>意外医疗(猫抓狗咬)*</v>
      </c>
      <c r="AP15" s="34" t="str">
        <v>住院医疗*</v>
      </c>
    </row>
    <row r="16" spans="2:42" ht="35.4" customHeight="1" x14ac:dyDescent="0.5">
      <c r="D16" s="125">
        <f t="shared" si="1"/>
        <v>3</v>
      </c>
      <c r="E16" s="126" t="str">
        <f>_xlfn.XLOOKUP(V16,保单录入!$AD$3:$AD$2024,保单录入!$D$3:$D$2024,"")</f>
        <v>大辽无忧</v>
      </c>
      <c r="F16" s="125" t="str">
        <f>_xlfn.XLOOKUP(V16,保单录入!$AD$3:$AD$2024,保单录入!$C$3:$C$2024,"")</f>
        <v>重疾险</v>
      </c>
      <c r="G16" s="125" t="str">
        <f>IF(_xlfn.XLOOKUP(V16,保单录入!$AD$3:$AD$2024,保单录入!$B$3:$B$2024,"")=0,"",_xlfn.XLOOKUP(V16,保单录入!$AD$3:$AD$2024,保单录入!$B$3:$B$2024,""))</f>
        <v>大辽保险</v>
      </c>
      <c r="H16" s="127">
        <f>_xlfn.XLOOKUP(V16,保单录入!$AD$3:$AD$2024,保单录入!$E$3:$E$2024,"")</f>
        <v>1000000</v>
      </c>
      <c r="I16" s="127">
        <f>_xlfn.XLOOKUP(V16,保单录入!$AD$3:$AD$2024,保单录入!$F$3:$F$2024,"")</f>
        <v>30000</v>
      </c>
      <c r="J16" s="128" t="str">
        <f ca="1">_xlfn.TEXTJOIN(CHAR(10),TRUE,_xlfn.XLOOKUP(V16,保单录入!$AD$3:$AD$2024,保单录入!$AG$3:$AG$2024,""),TEXT(_xlfn.XLOOKUP(V16,保单录入!$AD$3:$AD$2024,保单录入!$H$3:$H$2024,""),"yyyy/mm/dd"))</f>
        <v>5/19
2021/09/29</v>
      </c>
      <c r="K16" s="129">
        <f>_xlfn.XLOOKUP(V16,保单录入!$AD$3:$AD$2024,保单录入!$AI$3:$AI$2024,"")</f>
        <v>31</v>
      </c>
      <c r="L16" s="125" t="str">
        <f>_xlfn.XLOOKUP(V16,保单录入!$AD$3:$AD$2024,保单录入!$K$3:$K$2024,"")</f>
        <v>萧峰</v>
      </c>
      <c r="M16" s="125" t="str">
        <f>IF(_xlfn.XLOOKUP(V16,保单录入!$AD$3:$AD$2024,保单录入!$S$3:$S$2024,"")=0,"",_xlfn.XLOOKUP(V16,保单录入!$AD$3:$AD$2024,保单录入!$S$3:$S$2024,""))</f>
        <v>阿朱</v>
      </c>
      <c r="N16" s="15"/>
      <c r="Q16" s="106"/>
      <c r="V16" s="38" t="str">
        <f t="shared" si="0"/>
        <v>萧峰3</v>
      </c>
      <c r="W16" s="38">
        <v>3</v>
      </c>
      <c r="X16" s="39" t="str">
        <f>T(_xlfn.XLOOKUP(V16,保单录入!$AD$3:$AD$2024,保单录入!$Y$3:$Y$2024,""))</f>
        <v>重症*1000000+中症*500000+轻症*300000+60岁后额外重疾*1000000+身故*1000000+特别事宜甲状腺免责*</v>
      </c>
      <c r="Y16" s="34" cm="1">
        <f t="array" ref="Y16:AP16">_xlfn.MAP(_xlfn.ANCHORARRAY(Y14),_xlfn.LAMBDA(_xlpm.a,VALUE(IFERROR(_xlfn.REGEXEXTRACT(_xlpm.a,"\d+(?!.*\d)$"),0))))</f>
        <v>0</v>
      </c>
      <c r="Z16" s="34">
        <v>2000000</v>
      </c>
      <c r="AA16" s="34">
        <v>3000000</v>
      </c>
      <c r="AB16" s="34">
        <v>6000000</v>
      </c>
      <c r="AC16" s="34">
        <v>0</v>
      </c>
      <c r="AD16" s="34">
        <v>0</v>
      </c>
      <c r="AE16" s="34">
        <v>1000000</v>
      </c>
      <c r="AF16" s="34">
        <v>500000</v>
      </c>
      <c r="AG16" s="34">
        <v>300000</v>
      </c>
      <c r="AH16" s="34">
        <v>1000000</v>
      </c>
      <c r="AI16" s="34">
        <v>1000000</v>
      </c>
      <c r="AJ16" s="34">
        <v>0</v>
      </c>
      <c r="AK16" s="34">
        <v>250000</v>
      </c>
      <c r="AL16" s="34">
        <v>10000000</v>
      </c>
      <c r="AM16" s="34">
        <v>5000000</v>
      </c>
      <c r="AN16" s="34">
        <v>500000</v>
      </c>
      <c r="AO16" s="34">
        <v>30000</v>
      </c>
      <c r="AP16" s="34">
        <v>10000</v>
      </c>
    </row>
    <row r="17" spans="2:42" ht="35.4" customHeight="1" x14ac:dyDescent="0.5">
      <c r="D17" s="130">
        <f t="shared" si="1"/>
        <v>4</v>
      </c>
      <c r="E17" s="131" t="str">
        <f>_xlfn.XLOOKUP(V17,保单录入!$AD$3:$AD$2024,保单录入!$D$3:$D$2024,"")</f>
        <v>南院享</v>
      </c>
      <c r="F17" s="130" t="str">
        <f>_xlfn.XLOOKUP(V17,保单录入!$AD$3:$AD$2024,保单录入!$C$3:$C$2024,"")</f>
        <v>年金保险</v>
      </c>
      <c r="G17" s="125" t="str">
        <f>IF(_xlfn.XLOOKUP(V17,保单录入!$AD$3:$AD$2024,保单录入!$B$3:$B$2024,"")=0,"",_xlfn.XLOOKUP(V17,保单录入!$AD$3:$AD$2024,保单录入!$B$3:$B$2024,""))</f>
        <v>大辽保险</v>
      </c>
      <c r="H17" s="127">
        <f>_xlfn.XLOOKUP(V17,保单录入!$AD$3:$AD$2024,保单录入!$E$3:$E$2024,"")</f>
        <v>1888888</v>
      </c>
      <c r="I17" s="127">
        <f>_xlfn.XLOOKUP(V17,保单录入!$AD$3:$AD$2024,保单录入!$F$3:$F$2024,"")</f>
        <v>1000000</v>
      </c>
      <c r="J17" s="128" t="str">
        <f ca="1">_xlfn.TEXTJOIN(CHAR(10),TRUE,_xlfn.XLOOKUP(V17,保单录入!$AD$3:$AD$2024,保单录入!$AG$3:$AG$2024,""),TEXT(_xlfn.XLOOKUP(V17,保单录入!$AD$3:$AD$2024,保单录入!$H$3:$H$2024,""),"yyyy/mm/dd"))</f>
        <v>2/3
2024/09/25</v>
      </c>
      <c r="K17" s="129">
        <f>_xlfn.XLOOKUP(V17,保单录入!$AD$3:$AD$2024,保单录入!$AI$3:$AI$2024,"")</f>
        <v>34</v>
      </c>
      <c r="L17" s="125" t="str">
        <f>_xlfn.XLOOKUP(V17,保单录入!$AD$3:$AD$2024,保单录入!$K$3:$K$2024,"")</f>
        <v>萧峰</v>
      </c>
      <c r="M17" s="125" t="str">
        <f>IF(_xlfn.XLOOKUP(V17,保单录入!$AD$3:$AD$2024,保单录入!$S$3:$S$2024,"")=0,"",_xlfn.XLOOKUP(V17,保单录入!$AD$3:$AD$2024,保单录入!$S$3:$S$2024,""))</f>
        <v>阿朱</v>
      </c>
      <c r="N17" s="15"/>
      <c r="Q17" s="153"/>
      <c r="V17" s="38" t="str">
        <f t="shared" si="0"/>
        <v>萧峰4</v>
      </c>
      <c r="W17" s="38">
        <v>4</v>
      </c>
      <c r="X17" s="39" t="str">
        <f>T(_xlfn.XLOOKUP(V17,保单录入!$AD$3:$AD$2024,保单录入!$Y$3:$Y$2024,""))</f>
        <v>【每年】70~80岁保证领取*250000</v>
      </c>
      <c r="Y17" s="20" t="str" cm="1">
        <f t="array" ref="Y17:AO17">_xlfn.UNIQUE(_xlfn.ANCHORARRAY(Y15),TRUE)</f>
        <v>特别事宜百万医疗免赔额1万*</v>
      </c>
      <c r="Z17" s="20" t="str">
        <v>百万医疗*</v>
      </c>
      <c r="AA17" s="20" t="str">
        <v>70岁保证领取*</v>
      </c>
      <c r="AB17" s="20" t="str">
        <v>70岁预期领取*</v>
      </c>
      <c r="AC17" s="20" t="str">
        <v>保单权益南宋旅居权益*</v>
      </c>
      <c r="AD17" s="20" t="str">
        <v>南宋外交豁免保单权益*</v>
      </c>
      <c r="AE17" s="20" t="str">
        <v>重症*</v>
      </c>
      <c r="AF17" s="20" t="str">
        <v>中症*</v>
      </c>
      <c r="AG17" s="20" t="str">
        <v>轻症*</v>
      </c>
      <c r="AH17" s="20" t="str">
        <v>60岁后额外重疾*</v>
      </c>
      <c r="AI17" s="20" t="str">
        <v>身故*</v>
      </c>
      <c r="AJ17" s="20" t="str">
        <v>特别事宜甲状腺免责*</v>
      </c>
      <c r="AK17" s="20" t="str">
        <v>【每年】70~80岁保证领取*</v>
      </c>
      <c r="AL17" s="20" t="str">
        <v>70岁前身故额外*</v>
      </c>
      <c r="AM17" s="20" t="str">
        <v>意外伤害*</v>
      </c>
      <c r="AN17" s="20" t="str">
        <v>意外医疗(猫抓狗咬)*</v>
      </c>
      <c r="AO17" s="20" t="str">
        <v>住院医疗*</v>
      </c>
      <c r="AP17" s="20"/>
    </row>
    <row r="18" spans="2:42" ht="35.4" customHeight="1" x14ac:dyDescent="0.5">
      <c r="D18" s="125">
        <f t="shared" si="1"/>
        <v>5</v>
      </c>
      <c r="E18" s="126" t="str">
        <f>_xlfn.XLOOKUP(V18,保单录入!$AD$3:$AD$2024,保单录入!$D$3:$D$2024,"")</f>
        <v>大辽千万传承</v>
      </c>
      <c r="F18" s="125" t="str">
        <f>_xlfn.XLOOKUP(V18,保单录入!$AD$3:$AD$2024,保单录入!$C$3:$C$2024,"")</f>
        <v>终身寿险</v>
      </c>
      <c r="G18" s="125" t="str">
        <f>IF(_xlfn.XLOOKUP(V18,保单录入!$AD$3:$AD$2024,保单录入!$B$3:$B$2024,"")=0,"",_xlfn.XLOOKUP(V18,保单录入!$AD$3:$AD$2024,保单录入!$B$3:$B$2024,""))</f>
        <v>契丹保险</v>
      </c>
      <c r="H18" s="127">
        <f>_xlfn.XLOOKUP(V18,保单录入!$AD$3:$AD$2024,保单录入!$E$3:$E$2024,"")</f>
        <v>5000000</v>
      </c>
      <c r="I18" s="127">
        <f>_xlfn.XLOOKUP(V18,保单录入!$AD$3:$AD$2024,保单录入!$F$3:$F$2024,"")</f>
        <v>100000</v>
      </c>
      <c r="J18" s="128" t="str">
        <f ca="1">_xlfn.TEXTJOIN(CHAR(10),TRUE,_xlfn.XLOOKUP(V18,保单录入!$AD$3:$AD$2024,保单录入!$AG$3:$AG$2024,""),TEXT(_xlfn.XLOOKUP(V18,保单录入!$AD$3:$AD$2024,保单录入!$H$3:$H$2024,""),"yyyy/mm/dd"))</f>
        <v>16/20
2010/08/31</v>
      </c>
      <c r="K18" s="129">
        <f>_xlfn.XLOOKUP(V18,保单录入!$AD$3:$AD$2024,保单录入!$AI$3:$AI$2024,"")</f>
        <v>20</v>
      </c>
      <c r="L18" s="125" t="str">
        <f>_xlfn.XLOOKUP(V18,保单录入!$AD$3:$AD$2024,保单录入!$K$3:$K$2024,"")</f>
        <v>萧远山</v>
      </c>
      <c r="M18" s="125" t="str">
        <f>IF(_xlfn.XLOOKUP(V18,保单录入!$AD$3:$AD$2024,保单录入!$S$3:$S$2024,"")=0,"",_xlfn.XLOOKUP(V18,保单录入!$AD$3:$AD$2024,保单录入!$S$3:$S$2024,""))</f>
        <v>阿朱</v>
      </c>
      <c r="N18" s="15"/>
      <c r="Q18" s="153"/>
      <c r="U18" s="44"/>
      <c r="V18" s="38" t="str">
        <f t="shared" si="0"/>
        <v>萧峰5</v>
      </c>
      <c r="W18" s="38">
        <v>5</v>
      </c>
      <c r="X18" s="39" t="str">
        <f>T(_xlfn.XLOOKUP(V18,保单录入!$AD$3:$AD$2024,保单录入!$Y$3:$Y$2024,""))</f>
        <v>身故*10000000+70岁前身故额外*5000000</v>
      </c>
      <c r="Y18" s="20" cm="1">
        <f t="array" ref="Y18:AO18">_xlfn.MAP(_xlfn.ANCHORARRAY(Y17),_xlfn.LAMBDA(_xlpm.a,SUM(_xlfn._xlws.FILTER(_xlfn.ANCHORARRAY($Y$16),_xlfn.ANCHORARRAY($Y$15)=_xlpm.a))))</f>
        <v>0</v>
      </c>
      <c r="Z18" s="20">
        <v>2000000</v>
      </c>
      <c r="AA18" s="20">
        <v>3000000</v>
      </c>
      <c r="AB18" s="20">
        <v>6000000</v>
      </c>
      <c r="AC18" s="20">
        <v>0</v>
      </c>
      <c r="AD18" s="20">
        <v>0</v>
      </c>
      <c r="AE18" s="20">
        <v>1000000</v>
      </c>
      <c r="AF18" s="20">
        <v>500000</v>
      </c>
      <c r="AG18" s="20">
        <v>300000</v>
      </c>
      <c r="AH18" s="20">
        <v>1000000</v>
      </c>
      <c r="AI18" s="20">
        <v>11000000</v>
      </c>
      <c r="AJ18" s="20">
        <v>0</v>
      </c>
      <c r="AK18" s="20">
        <v>250000</v>
      </c>
      <c r="AL18" s="20">
        <v>5000000</v>
      </c>
      <c r="AM18" s="20">
        <v>500000</v>
      </c>
      <c r="AN18" s="20">
        <v>30000</v>
      </c>
      <c r="AO18" s="20">
        <v>10000</v>
      </c>
      <c r="AP18" s="20"/>
    </row>
    <row r="19" spans="2:42" s="44" customFormat="1" ht="35.4" customHeight="1" x14ac:dyDescent="0.4">
      <c r="B19" s="38"/>
      <c r="C19" s="38"/>
      <c r="D19" s="125">
        <f t="shared" si="1"/>
        <v>6</v>
      </c>
      <c r="E19" s="126" t="str">
        <f>_xlfn.XLOOKUP(V19,保单录入!$AD$3:$AD$2024,保单录入!$D$3:$D$2024,"")</f>
        <v>大辽守护保</v>
      </c>
      <c r="F19" s="125" t="str">
        <f>_xlfn.XLOOKUP(V19,保单录入!$AD$3:$AD$2024,保单录入!$C$3:$C$2024,"")</f>
        <v>定期寿险</v>
      </c>
      <c r="G19" s="125" t="str">
        <f>IF(_xlfn.XLOOKUP(V19,保单录入!$AD$3:$AD$2024,保单录入!$B$3:$B$2024,"")=0,"",_xlfn.XLOOKUP(V19,保单录入!$AD$3:$AD$2024,保单录入!$B$3:$B$2024,""))</f>
        <v>大辽保险</v>
      </c>
      <c r="H19" s="127">
        <f>_xlfn.XLOOKUP(V19,保单录入!$AD$3:$AD$2024,保单录入!$E$3:$E$2024,"")</f>
        <v>5000000</v>
      </c>
      <c r="I19" s="127">
        <f>_xlfn.XLOOKUP(V19,保单录入!$AD$3:$AD$2024,保单录入!$F$3:$F$2024,"")</f>
        <v>6000</v>
      </c>
      <c r="J19" s="128" t="str">
        <f ca="1">_xlfn.TEXTJOIN(CHAR(10),TRUE,_xlfn.XLOOKUP(V19,保单录入!$AD$3:$AD$2024,保单录入!$AG$3:$AG$2024,""),TEXT(_xlfn.XLOOKUP(V19,保单录入!$AD$3:$AD$2024,保单录入!$H$3:$H$2024,""),"yyyy/mm/dd"))</f>
        <v>16/20
2010/08/31</v>
      </c>
      <c r="K19" s="129">
        <f>_xlfn.XLOOKUP(V19,保单录入!$AD$3:$AD$2024,保单录入!$AI$3:$AI$2024,"")</f>
        <v>20</v>
      </c>
      <c r="L19" s="125" t="str">
        <f>_xlfn.XLOOKUP(V19,保单录入!$AD$3:$AD$2024,保单录入!$K$3:$K$2024,"")</f>
        <v>萧远山</v>
      </c>
      <c r="M19" s="125" t="str">
        <f>IF(_xlfn.XLOOKUP(V19,保单录入!$AD$3:$AD$2024,保单录入!$S$3:$S$2024,"")=0,"",_xlfn.XLOOKUP(V19,保单录入!$AD$3:$AD$2024,保单录入!$S$3:$S$2024,""))</f>
        <v>阿朱</v>
      </c>
      <c r="N19" s="107"/>
      <c r="Q19" s="108"/>
      <c r="V19" s="38" t="str">
        <f t="shared" si="0"/>
        <v>萧峰6</v>
      </c>
      <c r="W19" s="38">
        <v>6</v>
      </c>
      <c r="X19" s="39" t="str">
        <f>T(_xlfn.XLOOKUP(V19,保单录入!$AD$3:$AD$2024,保单录入!$Y$3:$Y$2024,""))</f>
        <v/>
      </c>
      <c r="Y19" s="38"/>
      <c r="Z19" s="38"/>
      <c r="AA19" s="38"/>
      <c r="AB19" s="38"/>
    </row>
    <row r="20" spans="2:42" ht="35.4" customHeight="1" x14ac:dyDescent="0.5">
      <c r="D20" s="125">
        <f t="shared" si="1"/>
        <v>7</v>
      </c>
      <c r="E20" s="126" t="str">
        <f>_xlfn.XLOOKUP(V20,保单录入!$AD$3:$AD$2024,保单录入!$D$3:$D$2024,"")</f>
        <v>大理安心行</v>
      </c>
      <c r="F20" s="125" t="str">
        <f>_xlfn.XLOOKUP(V20,保单录入!$AD$3:$AD$2024,保单录入!$C$3:$C$2024,"")</f>
        <v>意外伤害</v>
      </c>
      <c r="G20" s="125" t="str">
        <f>IF(_xlfn.XLOOKUP(V20,保单录入!$AD$3:$AD$2024,保单录入!$B$3:$B$2024,"")=0,"",_xlfn.XLOOKUP(V20,保单录入!$AD$3:$AD$2024,保单录入!$B$3:$B$2024,""))</f>
        <v>大理互保</v>
      </c>
      <c r="H20" s="127">
        <f>_xlfn.XLOOKUP(V20,保单录入!$AD$3:$AD$2024,保单录入!$E$3:$E$2024,"")</f>
        <v>500000</v>
      </c>
      <c r="I20" s="127">
        <f>_xlfn.XLOOKUP(V20,保单录入!$AD$3:$AD$2024,保单录入!$F$3:$F$2024,"")</f>
        <v>360</v>
      </c>
      <c r="J20" s="128" t="str">
        <f ca="1">_xlfn.TEXTJOIN(CHAR(10),TRUE,_xlfn.XLOOKUP(V20,保单录入!$AD$3:$AD$2024,保单录入!$AG$3:$AG$2024,""),TEXT(_xlfn.XLOOKUP(V20,保单录入!$AD$3:$AD$2024,保单录入!$H$3:$H$2024,""),"yyyy/mm/dd"))</f>
        <v>2/2
2024/09/30</v>
      </c>
      <c r="K20" s="129">
        <f>_xlfn.XLOOKUP(V20,保单录入!$AD$3:$AD$2024,保单录入!$AI$3:$AI$2024,"")</f>
        <v>34</v>
      </c>
      <c r="L20" s="125" t="str">
        <f>_xlfn.XLOOKUP(V20,保单录入!$AD$3:$AD$2024,保单录入!$K$3:$K$2024,"")</f>
        <v>萧峰</v>
      </c>
      <c r="M20" s="125" t="str">
        <f>IF(_xlfn.XLOOKUP(V20,保单录入!$AD$3:$AD$2024,保单录入!$S$3:$S$2024,"")=0,"",_xlfn.XLOOKUP(V20,保单录入!$AD$3:$AD$2024,保单录入!$S$3:$S$2024,""))</f>
        <v>阿朱</v>
      </c>
      <c r="N20" s="15"/>
      <c r="V20" s="38" t="str">
        <f t="shared" si="0"/>
        <v>萧峰7</v>
      </c>
      <c r="W20" s="38">
        <v>7</v>
      </c>
      <c r="X20" s="39" t="str">
        <f>T(_xlfn.XLOOKUP(V20,保单录入!$AD$3:$AD$2024,保单录入!$Y$3:$Y$2024,""))</f>
        <v>意外伤害*500000</v>
      </c>
    </row>
    <row r="21" spans="2:42" ht="35.4" customHeight="1" x14ac:dyDescent="0.5">
      <c r="D21" s="125">
        <f t="shared" si="1"/>
        <v>8</v>
      </c>
      <c r="E21" s="126" t="str">
        <f>_xlfn.XLOOKUP(V21,保单录入!$AD$3:$AD$2024,保单录入!$D$3:$D$2024,"")</f>
        <v>大理安心行</v>
      </c>
      <c r="F21" s="125" t="str">
        <f>_xlfn.XLOOKUP(V21,保单录入!$AD$3:$AD$2024,保单录入!$C$3:$C$2024,"")</f>
        <v>意外医疗</v>
      </c>
      <c r="G21" s="125" t="str">
        <f>IF(_xlfn.XLOOKUP(V21,保单录入!$AD$3:$AD$2024,保单录入!$B$3:$B$2024,"")=0,"",_xlfn.XLOOKUP(V21,保单录入!$AD$3:$AD$2024,保单录入!$B$3:$B$2024,""))</f>
        <v>大理互保</v>
      </c>
      <c r="H21" s="127">
        <f>_xlfn.XLOOKUP(V21,保单录入!$AD$3:$AD$2024,保单录入!$E$3:$E$2024,"")</f>
        <v>30000</v>
      </c>
      <c r="I21" s="127">
        <f>_xlfn.XLOOKUP(V21,保单录入!$AD$3:$AD$2024,保单录入!$F$3:$F$2024,"")</f>
        <v>0</v>
      </c>
      <c r="J21" s="128" t="str">
        <f ca="1">_xlfn.TEXTJOIN(CHAR(10),TRUE,_xlfn.XLOOKUP(V21,保单录入!$AD$3:$AD$2024,保单录入!$AG$3:$AG$2024,""),TEXT(_xlfn.XLOOKUP(V21,保单录入!$AD$3:$AD$2024,保单录入!$H$3:$H$2024,""),"yyyy/mm/dd"))</f>
        <v>已结束
2024/09/30</v>
      </c>
      <c r="K21" s="129">
        <f>_xlfn.XLOOKUP(V21,保单录入!$AD$3:$AD$2024,保单录入!$AI$3:$AI$2024,"")</f>
        <v>34</v>
      </c>
      <c r="L21" s="125" t="str">
        <f>_xlfn.XLOOKUP(V21,保单录入!$AD$3:$AD$2024,保单录入!$K$3:$K$2024,"")</f>
        <v>萧峰</v>
      </c>
      <c r="M21" s="125" t="str">
        <f>IF(_xlfn.XLOOKUP(V21,保单录入!$AD$3:$AD$2024,保单录入!$S$3:$S$2024,"")=0,"",_xlfn.XLOOKUP(V21,保单录入!$AD$3:$AD$2024,保单录入!$S$3:$S$2024,""))</f>
        <v>阿朱</v>
      </c>
      <c r="N21" s="15"/>
      <c r="Q21" s="109"/>
      <c r="V21" s="38" t="str">
        <f t="shared" si="0"/>
        <v>萧峰8</v>
      </c>
      <c r="W21" s="38">
        <v>8</v>
      </c>
      <c r="X21" s="39" t="str">
        <f>T(_xlfn.XLOOKUP(V21,保单录入!$AD$3:$AD$2024,保单录入!$Y$3:$Y$2024,""))</f>
        <v>意外医疗(猫抓狗咬)*30000+住院医疗*10000</v>
      </c>
      <c r="Y21" s="112" t="s">
        <v>190</v>
      </c>
      <c r="Z21" s="112" t="s">
        <v>191</v>
      </c>
    </row>
    <row r="22" spans="2:42" ht="35.4" customHeight="1" x14ac:dyDescent="0.5">
      <c r="D22" s="125" t="str">
        <f t="shared" si="1"/>
        <v/>
      </c>
      <c r="E22" s="126" t="str">
        <f>_xlfn.XLOOKUP(V22,保单录入!$AD$3:$AD$2024,保单录入!$D$3:$D$2024,"")</f>
        <v/>
      </c>
      <c r="F22" s="125" t="str">
        <f>_xlfn.XLOOKUP(V22,保单录入!$AD$3:$AD$2024,保单录入!$C$3:$C$2024,"")</f>
        <v/>
      </c>
      <c r="G22" s="125" t="str">
        <f>IF(_xlfn.XLOOKUP(V22,保单录入!$AD$3:$AD$2024,保单录入!$B$3:$B$2024,"")=0,"",_xlfn.XLOOKUP(V22,保单录入!$AD$3:$AD$2024,保单录入!$B$3:$B$2024,""))</f>
        <v/>
      </c>
      <c r="H22" s="127" t="str">
        <f>_xlfn.XLOOKUP(V22,保单录入!$AD$3:$AD$2024,保单录入!$E$3:$E$2024,"")</f>
        <v/>
      </c>
      <c r="I22" s="127" t="str">
        <f>_xlfn.XLOOKUP(V22,保单录入!$AD$3:$AD$2024,保单录入!$F$3:$F$2024,"")</f>
        <v/>
      </c>
      <c r="J22" s="128" t="str">
        <f>_xlfn.TEXTJOIN(CHAR(10),TRUE,_xlfn.XLOOKUP(V22,保单录入!$AD$3:$AD$2024,保单录入!$AG$3:$AG$2024,""),TEXT(_xlfn.XLOOKUP(V22,保单录入!$AD$3:$AD$2024,保单录入!$H$3:$H$2024,""),"yyyy/mm/dd"))</f>
        <v/>
      </c>
      <c r="K22" s="129" t="str">
        <f>_xlfn.XLOOKUP(V22,保单录入!$AD$3:$AD$2024,保单录入!$AI$3:$AI$2024,"")</f>
        <v/>
      </c>
      <c r="L22" s="125" t="str">
        <f>_xlfn.XLOOKUP(V22,保单录入!$AD$3:$AD$2024,保单录入!$K$3:$K$2024,"")</f>
        <v/>
      </c>
      <c r="M22" s="125" t="str">
        <f>IF(_xlfn.XLOOKUP(V22,保单录入!$AD$3:$AD$2024,保单录入!$S$3:$S$2024,"")=0,"",_xlfn.XLOOKUP(V22,保单录入!$AD$3:$AD$2024,保单录入!$S$3:$S$2024,""))</f>
        <v/>
      </c>
      <c r="N22" s="15"/>
      <c r="V22" s="38" t="str">
        <f t="shared" si="0"/>
        <v>萧峰9</v>
      </c>
      <c r="W22" s="38">
        <v>9</v>
      </c>
      <c r="X22" s="39" t="str">
        <f>T(_xlfn.XLOOKUP(V22,保单录入!$AD$3:$AD$2024,保单录入!$Y$3:$Y$2024,""))</f>
        <v/>
      </c>
      <c r="Y22" s="112" t="s">
        <v>192</v>
      </c>
      <c r="Z22" s="112" t="s">
        <v>193</v>
      </c>
    </row>
    <row r="23" spans="2:42" ht="35.4" customHeight="1" x14ac:dyDescent="0.5">
      <c r="D23" s="130" t="str">
        <f t="shared" si="1"/>
        <v/>
      </c>
      <c r="E23" s="131" t="str">
        <f>_xlfn.XLOOKUP(V23,保单录入!$AD$3:$AD$2024,保单录入!$D$3:$D$2024,"")</f>
        <v/>
      </c>
      <c r="F23" s="130" t="str">
        <f>_xlfn.XLOOKUP(V23,保单录入!$AD$3:$AD$2024,保单录入!$C$3:$C$2024,"")</f>
        <v/>
      </c>
      <c r="G23" s="125" t="str">
        <f>IF(_xlfn.XLOOKUP(V23,保单录入!$AD$3:$AD$2024,保单录入!$B$3:$B$2024,"")=0,"",_xlfn.XLOOKUP(V23,保单录入!$AD$3:$AD$2024,保单录入!$B$3:$B$2024,""))</f>
        <v/>
      </c>
      <c r="H23" s="127" t="str">
        <f>_xlfn.XLOOKUP(V23,保单录入!$AD$3:$AD$2024,保单录入!$E$3:$E$2024,"")</f>
        <v/>
      </c>
      <c r="I23" s="127" t="str">
        <f>_xlfn.XLOOKUP(V23,保单录入!$AD$3:$AD$2024,保单录入!$F$3:$F$2024,"")</f>
        <v/>
      </c>
      <c r="J23" s="128" t="str">
        <f>_xlfn.TEXTJOIN(CHAR(10),TRUE,_xlfn.XLOOKUP(V23,保单录入!$AD$3:$AD$2024,保单录入!$AG$3:$AG$2024,""),TEXT(_xlfn.XLOOKUP(V23,保单录入!$AD$3:$AD$2024,保单录入!$H$3:$H$2024,""),"yyyy/mm/dd"))</f>
        <v/>
      </c>
      <c r="K23" s="129" t="str">
        <f>_xlfn.XLOOKUP(V23,保单录入!$AD$3:$AD$2024,保单录入!$AI$3:$AI$2024,"")</f>
        <v/>
      </c>
      <c r="L23" s="125" t="str">
        <f>_xlfn.XLOOKUP(V23,保单录入!$AD$3:$AD$2024,保单录入!$K$3:$K$2024,"")</f>
        <v/>
      </c>
      <c r="M23" s="125" t="str">
        <f>IF(_xlfn.XLOOKUP(V23,保单录入!$AD$3:$AD$2024,保单录入!$S$3:$S$2024,"")=0,"",_xlfn.XLOOKUP(V23,保单录入!$AD$3:$AD$2024,保单录入!$S$3:$S$2024,""))</f>
        <v/>
      </c>
      <c r="N23" s="15"/>
      <c r="Q23" s="109"/>
      <c r="V23" s="38" t="str">
        <f t="shared" si="0"/>
        <v>萧峰10</v>
      </c>
      <c r="W23" s="38">
        <v>10</v>
      </c>
      <c r="X23" s="39" t="str">
        <f>T(_xlfn.XLOOKUP(V23,保单录入!$AD$3:$AD$2024,保单录入!$Y$3:$Y$2024,""))</f>
        <v/>
      </c>
      <c r="Y23" s="39" t="s">
        <v>74</v>
      </c>
      <c r="Z23" s="39" t="s">
        <v>75</v>
      </c>
      <c r="AA23" s="40" t="s">
        <v>73</v>
      </c>
      <c r="AB23" s="39" t="s">
        <v>74</v>
      </c>
      <c r="AC23" s="39" t="s">
        <v>76</v>
      </c>
      <c r="AD23" s="45" t="s">
        <v>74</v>
      </c>
      <c r="AE23" s="45" t="s">
        <v>79</v>
      </c>
      <c r="AF23" s="45" t="s">
        <v>78</v>
      </c>
      <c r="AG23" s="38" t="s">
        <v>74</v>
      </c>
      <c r="AH23" s="39" t="s">
        <v>79</v>
      </c>
      <c r="AI23" s="39" t="s">
        <v>78</v>
      </c>
      <c r="AJ23" s="36" t="s">
        <v>77</v>
      </c>
      <c r="AK23" s="36" t="s">
        <v>186</v>
      </c>
      <c r="AL23" s="36" t="s">
        <v>185</v>
      </c>
    </row>
    <row r="24" spans="2:42" ht="35.4" customHeight="1" x14ac:dyDescent="0.5">
      <c r="D24" s="125" t="str">
        <f t="shared" si="1"/>
        <v/>
      </c>
      <c r="E24" s="126" t="str">
        <f>_xlfn.XLOOKUP(V24,保单录入!$AD$3:$AD$2024,保单录入!$D$3:$D$2024,"")</f>
        <v/>
      </c>
      <c r="F24" s="125" t="str">
        <f>_xlfn.XLOOKUP(V24,保单录入!$AD$3:$AD$2024,保单录入!$C$3:$C$2024,"")</f>
        <v/>
      </c>
      <c r="G24" s="125" t="str">
        <f>IF(_xlfn.XLOOKUP(V24,保单录入!$AD$3:$AD$2024,保单录入!$B$3:$B$2024,"")=0,"",_xlfn.XLOOKUP(V24,保单录入!$AD$3:$AD$2024,保单录入!$B$3:$B$2024,""))</f>
        <v/>
      </c>
      <c r="H24" s="127" t="str">
        <f>_xlfn.XLOOKUP(V24,保单录入!$AD$3:$AD$2024,保单录入!$E$3:$E$2024,"")</f>
        <v/>
      </c>
      <c r="I24" s="127" t="str">
        <f>_xlfn.XLOOKUP(V24,保单录入!$AD$3:$AD$2024,保单录入!$F$3:$F$2024,"")</f>
        <v/>
      </c>
      <c r="J24" s="128" t="str">
        <f>_xlfn.TEXTJOIN(CHAR(10),TRUE,_xlfn.XLOOKUP(V24,保单录入!$AD$3:$AD$2024,保单录入!$AG$3:$AG$2024,""),TEXT(_xlfn.XLOOKUP(V24,保单录入!$AD$3:$AD$2024,保单录入!$H$3:$H$2024,""),"yyyy/mm/dd"))</f>
        <v/>
      </c>
      <c r="K24" s="129" t="str">
        <f>_xlfn.XLOOKUP(V24,保单录入!$AD$3:$AD$2024,保单录入!$AI$3:$AI$2024,"")</f>
        <v/>
      </c>
      <c r="L24" s="125" t="str">
        <f>_xlfn.XLOOKUP(V24,保单录入!$AD$3:$AD$2024,保单录入!$K$3:$K$2024,"")</f>
        <v/>
      </c>
      <c r="M24" s="125" t="str">
        <f>IF(_xlfn.XLOOKUP(V24,保单录入!$AD$3:$AD$2024,保单录入!$S$3:$S$2024,"")=0,"",_xlfn.XLOOKUP(V24,保单录入!$AD$3:$AD$2024,保单录入!$S$3:$S$2024,""))</f>
        <v/>
      </c>
      <c r="N24" s="15"/>
      <c r="V24" s="38" t="str">
        <f t="shared" si="0"/>
        <v>萧峰11</v>
      </c>
      <c r="W24" s="38">
        <v>11</v>
      </c>
      <c r="X24" s="39" t="str">
        <f>T(_xlfn.XLOOKUP(V24,保单录入!$AD$3:$AD$2024,保单录入!$Y$3:$Y$2024,""))</f>
        <v/>
      </c>
      <c r="Y24" s="39" t="str" cm="1">
        <f t="array" ref="Y24:Z33">TRANSPOSE(_xlfn._xlws.FILTER(Y17:BA18,(Y18:BA18&lt;&gt;0)*NOT(ISNUMBER(SEARCH("保证领取",Y17:BA17)))*NOT(ISNUMBER(SEARCH("特别事宜",Y17:BA17)))*NOT(ISNUMBER(SEARCH("保单权益",Y17:BA17)))*NOT(ISNUMBER(SEARCH("预期领取",Y17:BA17)))))</f>
        <v>百万医疗*</v>
      </c>
      <c r="Z24" s="39">
        <v>2000000</v>
      </c>
      <c r="AA24" s="40" t="str" cm="1">
        <f t="array" ref="AA24:AA25">_xlfn.MAP(TRANSPOSE(_xlfn._xlws.FILTER(_xlfn.ANCHORARRAY(Y17),(_xlfn.ANCHORARRAY(Y18)=0)*ISNUMBER(SEARCH("保单权益",_xlfn.ANCHORARRAY(Y17))),"")),_xlfn.LAMBDA(_xlpm.a,IFERROR(_xlfn.REGEXEXTRACT(_xlpm.a, "(?&lt;=保单权益).*"), "")))</f>
        <v>南宋旅居权益*</v>
      </c>
      <c r="AB24" s="39" t="str" cm="1">
        <f t="array" ref="AB24:AB26">TRANSPOSE(_xlfn._xlws.FILTER(_xlfn.ANCHORARRAY(Y17),ISNUMBER(SEARCH("保证领取",_xlfn.ANCHORARRAY(Y17)))+ISNUMBER(SEARCH("预期领取",_xlfn.ANCHORARRAY(Y17)))))</f>
        <v>70岁保证领取*</v>
      </c>
      <c r="AC24" s="39" cm="1">
        <f t="array" ref="AC24:AC26">TRANSPOSE(_xlfn._xlws.FILTER(_xlfn.ANCHORARRAY(Y18),ISNUMBER(SEARCH("保证领取",_xlfn.ANCHORARRAY(Y17)))+ISNUMBER(SEARCH("预期领取",_xlfn.ANCHORARRAY(Y17)))))</f>
        <v>3000000</v>
      </c>
      <c r="AD24" s="45" t="str" cm="1">
        <f t="array" ref="AD24:AD26">_xlfn.MAP(_xlfn.ANCHORARRAY(AB24),_xlfn.LAMBDA(_xlpm.a,IFERROR(_xlfn.REGEXEXTRACT(_xlpm.a, ".*?(?=保证领取|预期领取)"),"")))</f>
        <v>70岁</v>
      </c>
      <c r="AE24" s="45" cm="1">
        <f t="array" ref="AE24:AE26">_xlfn.MAP(_xlfn.ANCHORARRAY(AB24),_xlfn.ANCHORARRAY(AC24),_xlfn.LAMBDA(_xlpm.a,_xlpm.b,IF(_xlpm.a="","",IF(ISNUMBER(SEARCH("保证领取",_xlpm.a)),_xlpm.b,""))))</f>
        <v>3000000</v>
      </c>
      <c r="AF24" s="45" t="str" cm="1">
        <f t="array" ref="AF24:AF26">_xlfn.MAP(_xlfn.ANCHORARRAY(AB24),_xlfn.ANCHORARRAY(AC24),_xlfn.LAMBDA(_xlpm.a,_xlpm.b,IF(_xlpm.a="","",IF(ISNUMBER(SEARCH("预期领取",_xlpm.a)),_xlpm.b,""))))</f>
        <v/>
      </c>
      <c r="AG24" s="39" t="str" cm="1">
        <f t="array" aca="1" ref="AG24:AI26" ca="1">_xlfn._xlws.SORT(OFFSET(AD24,,,SUM(--ISNUMBER(AE24:AF50)),3),1,1)</f>
        <v>【每年】70~80岁</v>
      </c>
      <c r="AH24" s="39">
        <f ca="1"/>
        <v>250000</v>
      </c>
      <c r="AI24" s="39" t="str">
        <f ca="1"/>
        <v/>
      </c>
      <c r="AJ24" s="36" t="str" cm="1">
        <f t="array" ref="AJ24:AJ25">TRANSPOSE(_xlfn._xlws.FILTER(_xlfn.ANCHORARRAY(Y17),(_xlfn.ANCHORARRAY(Y18)=0)*ISNUMBER(SEARCH("特别事宜",_xlfn.ANCHORARRAY(Y17))),""))</f>
        <v>特别事宜百万医疗免赔额1万*</v>
      </c>
      <c r="AK24" s="36" t="str" cm="1">
        <f t="array" ref="AK24">IF(AJ24="","","①")&amp;IFERROR(_xlfn.REGEXEXTRACT(AJ24, "(?&lt;=特别事宜).*"), "")</f>
        <v>①百万医疗免赔额1万*</v>
      </c>
      <c r="AL24" s="36" t="str">
        <f>_xlfn.TEXTJOIN(CHAR(10),FALSE,AK24:AK36)</f>
        <v xml:space="preserve">①百万医疗免赔额1万*
②甲状腺免责*
</v>
      </c>
    </row>
    <row r="25" spans="2:42" ht="35.4" customHeight="1" x14ac:dyDescent="0.5">
      <c r="D25" s="125" t="str">
        <f t="shared" si="1"/>
        <v/>
      </c>
      <c r="E25" s="126" t="str">
        <f>_xlfn.XLOOKUP(V25,保单录入!$AD$3:$AD$2024,保单录入!$D$3:$D$2024,"")</f>
        <v/>
      </c>
      <c r="F25" s="125" t="str">
        <f>_xlfn.XLOOKUP(V25,保单录入!$AD$3:$AD$2024,保单录入!$C$3:$C$2024,"")</f>
        <v/>
      </c>
      <c r="G25" s="125" t="str">
        <f>IF(_xlfn.XLOOKUP(V25,保单录入!$AD$3:$AD$2024,保单录入!$B$3:$B$2024,"")=0,"",_xlfn.XLOOKUP(V25,保单录入!$AD$3:$AD$2024,保单录入!$B$3:$B$2024,""))</f>
        <v/>
      </c>
      <c r="H25" s="127" t="str">
        <f>_xlfn.XLOOKUP(V25,保单录入!$AD$3:$AD$2024,保单录入!$E$3:$E$2024,"")</f>
        <v/>
      </c>
      <c r="I25" s="127" t="str">
        <f>_xlfn.XLOOKUP(V25,保单录入!$AD$3:$AD$2024,保单录入!$F$3:$F$2024,"")</f>
        <v/>
      </c>
      <c r="J25" s="128" t="str">
        <f>_xlfn.TEXTJOIN(CHAR(10),TRUE,_xlfn.XLOOKUP(V25,保单录入!$AD$3:$AD$2024,保单录入!$AG$3:$AG$2024,""),TEXT(_xlfn.XLOOKUP(V25,保单录入!$AD$3:$AD$2024,保单录入!$H$3:$H$2024,""),"yyyy/mm/dd"))</f>
        <v/>
      </c>
      <c r="K25" s="129" t="str">
        <f>_xlfn.XLOOKUP(V25,保单录入!$AD$3:$AD$2024,保单录入!$AI$3:$AI$2024,"")</f>
        <v/>
      </c>
      <c r="L25" s="125" t="str">
        <f>_xlfn.XLOOKUP(V25,保单录入!$AD$3:$AD$2024,保单录入!$K$3:$K$2024,"")</f>
        <v/>
      </c>
      <c r="M25" s="125" t="str">
        <f>IF(_xlfn.XLOOKUP(V25,保单录入!$AD$3:$AD$2024,保单录入!$S$3:$S$2024,"")=0,"",_xlfn.XLOOKUP(V25,保单录入!$AD$3:$AD$2024,保单录入!$S$3:$S$2024,""))</f>
        <v/>
      </c>
      <c r="N25" s="15"/>
      <c r="Q25" s="109"/>
      <c r="V25" s="38" t="str">
        <f t="shared" si="0"/>
        <v>萧峰12</v>
      </c>
      <c r="W25" s="38">
        <v>12</v>
      </c>
      <c r="X25" s="39" t="str">
        <f>T(_xlfn.XLOOKUP(V25,保单录入!$AD$3:$AD$2024,保单录入!$Y$3:$Y$2024,""))</f>
        <v/>
      </c>
      <c r="Y25" s="39" t="str">
        <v>重症*</v>
      </c>
      <c r="Z25" s="39">
        <v>1000000</v>
      </c>
      <c r="AA25" s="40" t="str">
        <v>*</v>
      </c>
      <c r="AB25" s="39" t="str">
        <v>70岁预期领取*</v>
      </c>
      <c r="AC25" s="39">
        <v>6000000</v>
      </c>
      <c r="AD25" s="45" t="str">
        <v>70岁</v>
      </c>
      <c r="AE25" s="45" t="str">
        <v/>
      </c>
      <c r="AF25" s="45">
        <v>6000000</v>
      </c>
      <c r="AG25" s="39" t="str">
        <f ca="1"/>
        <v>70岁</v>
      </c>
      <c r="AH25" s="39">
        <f ca="1"/>
        <v>3000000</v>
      </c>
      <c r="AI25" s="39" t="str">
        <f ca="1"/>
        <v/>
      </c>
      <c r="AJ25" s="36" t="str">
        <v>特别事宜甲状腺免责*</v>
      </c>
      <c r="AK25" s="36" t="str" cm="1">
        <f t="array" ref="AK25">IF(AJ25="","","②")&amp;IFERROR(_xlfn.REGEXEXTRACT(AJ25, "(?&lt;=特别事宜).*"), "")</f>
        <v>②甲状腺免责*</v>
      </c>
      <c r="AL25" s="36"/>
    </row>
    <row r="26" spans="2:42" ht="35.4" customHeight="1" x14ac:dyDescent="0.5">
      <c r="D26" s="125" t="str">
        <f t="shared" si="1"/>
        <v/>
      </c>
      <c r="E26" s="126" t="str">
        <f>_xlfn.XLOOKUP(V26,保单录入!$AD$3:$AD$2024,保单录入!$D$3:$D$2024,"")</f>
        <v/>
      </c>
      <c r="F26" s="125" t="str">
        <f>_xlfn.XLOOKUP(V26,保单录入!$AD$3:$AD$2024,保单录入!$C$3:$C$2024,"")</f>
        <v/>
      </c>
      <c r="G26" s="125" t="str">
        <f>IF(_xlfn.XLOOKUP(V26,保单录入!$AD$3:$AD$2024,保单录入!$B$3:$B$2024,"")=0,"",_xlfn.XLOOKUP(V26,保单录入!$AD$3:$AD$2024,保单录入!$B$3:$B$2024,""))</f>
        <v/>
      </c>
      <c r="H26" s="127" t="str">
        <f>_xlfn.XLOOKUP(V26,保单录入!$AD$3:$AD$2024,保单录入!$E$3:$E$2024,"")</f>
        <v/>
      </c>
      <c r="I26" s="127" t="str">
        <f>_xlfn.XLOOKUP(V26,保单录入!$AD$3:$AD$2024,保单录入!$F$3:$F$2024,"")</f>
        <v/>
      </c>
      <c r="J26" s="128" t="str">
        <f>_xlfn.TEXTJOIN(CHAR(10),TRUE,_xlfn.XLOOKUP(V26,保单录入!$AD$3:$AD$2024,保单录入!$AG$3:$AG$2024,""),TEXT(_xlfn.XLOOKUP(V26,保单录入!$AD$3:$AD$2024,保单录入!$H$3:$H$2024,""),"yyyy/mm/dd"))</f>
        <v/>
      </c>
      <c r="K26" s="129" t="str">
        <f>_xlfn.XLOOKUP(V26,保单录入!$AD$3:$AD$2024,保单录入!$AI$3:$AI$2024,"")</f>
        <v/>
      </c>
      <c r="L26" s="125" t="str">
        <f>_xlfn.XLOOKUP(V26,保单录入!$AD$3:$AD$2024,保单录入!$K$3:$K$2024,"")</f>
        <v/>
      </c>
      <c r="M26" s="125" t="str">
        <f>IF(_xlfn.XLOOKUP(V26,保单录入!$AD$3:$AD$2024,保单录入!$S$3:$S$2024,"")=0,"",_xlfn.XLOOKUP(V26,保单录入!$AD$3:$AD$2024,保单录入!$S$3:$S$2024,""))</f>
        <v/>
      </c>
      <c r="N26" s="15"/>
      <c r="V26" s="38" t="str">
        <f t="shared" si="0"/>
        <v>萧峰13</v>
      </c>
      <c r="W26" s="38">
        <v>13</v>
      </c>
      <c r="X26" s="39" t="str">
        <f>T(_xlfn.XLOOKUP(V26,保单录入!$AD$3:$AD$2024,保单录入!$Y$3:$Y$2024,""))</f>
        <v/>
      </c>
      <c r="Y26" s="39" t="str">
        <v>中症*</v>
      </c>
      <c r="Z26" s="39">
        <v>500000</v>
      </c>
      <c r="AA26" s="40"/>
      <c r="AB26" s="39" t="str">
        <v>【每年】70~80岁保证领取*</v>
      </c>
      <c r="AC26" s="39">
        <v>250000</v>
      </c>
      <c r="AD26" s="45" t="str">
        <v>【每年】70~80岁</v>
      </c>
      <c r="AE26" s="45">
        <v>250000</v>
      </c>
      <c r="AF26" s="45" t="str">
        <v/>
      </c>
      <c r="AG26" s="39" t="str">
        <f ca="1"/>
        <v>70岁</v>
      </c>
      <c r="AH26" s="39" t="str">
        <f ca="1"/>
        <v/>
      </c>
      <c r="AI26" s="39">
        <f ca="1"/>
        <v>6000000</v>
      </c>
      <c r="AJ26" s="36"/>
      <c r="AK26" s="36" t="str" cm="1">
        <f t="array" ref="AK26">IF(AJ26="","","③")&amp;IFERROR(_xlfn.REGEXEXTRACT(AJ26, "(?&lt;=特别事宜).*"), "")</f>
        <v/>
      </c>
      <c r="AL26" s="36"/>
    </row>
    <row r="27" spans="2:42" ht="35.4" customHeight="1" x14ac:dyDescent="0.5">
      <c r="D27" s="125" t="str">
        <f t="shared" si="1"/>
        <v/>
      </c>
      <c r="E27" s="126" t="str">
        <f>_xlfn.XLOOKUP(V27,保单录入!$AD$3:$AD$2024,保单录入!$D$3:$D$2024,"")</f>
        <v/>
      </c>
      <c r="F27" s="125" t="str">
        <f>_xlfn.XLOOKUP(V27,保单录入!$AD$3:$AD$2024,保单录入!$C$3:$C$2024,"")</f>
        <v/>
      </c>
      <c r="G27" s="125" t="str">
        <f>IF(_xlfn.XLOOKUP(V27,保单录入!$AD$3:$AD$2024,保单录入!$B$3:$B$2024,"")=0,"",_xlfn.XLOOKUP(V27,保单录入!$AD$3:$AD$2024,保单录入!$B$3:$B$2024,""))</f>
        <v/>
      </c>
      <c r="H27" s="127" t="str">
        <f>_xlfn.XLOOKUP(V27,保单录入!$AD$3:$AD$2024,保单录入!$E$3:$E$2024,"")</f>
        <v/>
      </c>
      <c r="I27" s="127" t="str">
        <f>_xlfn.XLOOKUP(V27,保单录入!$AD$3:$AD$2024,保单录入!$F$3:$F$2024,"")</f>
        <v/>
      </c>
      <c r="J27" s="128" t="str">
        <f>_xlfn.TEXTJOIN(CHAR(10),TRUE,_xlfn.XLOOKUP(V27,保单录入!$AD$3:$AD$2024,保单录入!$AG$3:$AG$2024,""),TEXT(_xlfn.XLOOKUP(V27,保单录入!$AD$3:$AD$2024,保单录入!$H$3:$H$2024,""),"yyyy/mm/dd"))</f>
        <v/>
      </c>
      <c r="K27" s="129" t="str">
        <f>_xlfn.XLOOKUP(V27,保单录入!$AD$3:$AD$2024,保单录入!$AI$3:$AI$2024,"")</f>
        <v/>
      </c>
      <c r="L27" s="125" t="str">
        <f>_xlfn.XLOOKUP(V27,保单录入!$AD$3:$AD$2024,保单录入!$K$3:$K$2024,"")</f>
        <v/>
      </c>
      <c r="M27" s="125" t="str">
        <f>IF(_xlfn.XLOOKUP(V27,保单录入!$AD$3:$AD$2024,保单录入!$S$3:$S$2024,"")=0,"",_xlfn.XLOOKUP(V27,保单录入!$AD$3:$AD$2024,保单录入!$S$3:$S$2024,""))</f>
        <v/>
      </c>
      <c r="N27" s="15"/>
      <c r="Q27" s="109"/>
      <c r="V27" s="38" t="str">
        <f t="shared" si="0"/>
        <v>萧峰14</v>
      </c>
      <c r="W27" s="38">
        <v>14</v>
      </c>
      <c r="X27" s="39" t="str">
        <f>T(_xlfn.XLOOKUP(V27,保单录入!$AD$3:$AD$2024,保单录入!$Y$3:$Y$2024,""))</f>
        <v/>
      </c>
      <c r="Y27" s="39" t="str">
        <v>轻症*</v>
      </c>
      <c r="Z27" s="39">
        <v>300000</v>
      </c>
      <c r="AA27" s="40"/>
      <c r="AB27" s="39"/>
      <c r="AC27" s="39"/>
      <c r="AD27" s="45"/>
      <c r="AE27" s="45"/>
      <c r="AF27" s="45"/>
      <c r="AG27" s="39"/>
      <c r="AH27" s="39"/>
      <c r="AI27" s="39"/>
      <c r="AJ27" s="36"/>
      <c r="AK27" s="36" t="str" cm="1">
        <f t="array" ref="AK27">IF(AJ27="","","④")&amp;IFERROR(_xlfn.REGEXEXTRACT(AJ27, "(?&lt;=特别事宜).*"), "")</f>
        <v/>
      </c>
      <c r="AL27" s="36"/>
    </row>
    <row r="28" spans="2:42" ht="35.4" customHeight="1" x14ac:dyDescent="0.5">
      <c r="D28" s="125" t="str">
        <f t="shared" si="1"/>
        <v/>
      </c>
      <c r="E28" s="126" t="str">
        <f>_xlfn.XLOOKUP(V28,保单录入!$AD$3:$AD$2024,保单录入!$D$3:$D$2024,"")</f>
        <v/>
      </c>
      <c r="F28" s="125" t="str">
        <f>_xlfn.XLOOKUP(V28,保单录入!$AD$3:$AD$2024,保单录入!$C$3:$C$2024,"")</f>
        <v/>
      </c>
      <c r="G28" s="125" t="str">
        <f>IF(_xlfn.XLOOKUP(V28,保单录入!$AD$3:$AD$2024,保单录入!$B$3:$B$2024,"")=0,"",_xlfn.XLOOKUP(V28,保单录入!$AD$3:$AD$2024,保单录入!$B$3:$B$2024,""))</f>
        <v/>
      </c>
      <c r="H28" s="127" t="str">
        <f>_xlfn.XLOOKUP(V28,保单录入!$AD$3:$AD$2024,保单录入!$E$3:$E$2024,"")</f>
        <v/>
      </c>
      <c r="I28" s="127" t="str">
        <f>_xlfn.XLOOKUP(V28,保单录入!$AD$3:$AD$2024,保单录入!$F$3:$F$2024,"")</f>
        <v/>
      </c>
      <c r="J28" s="128" t="str">
        <f>_xlfn.TEXTJOIN(CHAR(10),TRUE,_xlfn.XLOOKUP(V28,保单录入!$AD$3:$AD$2024,保单录入!$AG$3:$AG$2024,""),TEXT(_xlfn.XLOOKUP(V28,保单录入!$AD$3:$AD$2024,保单录入!$H$3:$H$2024,""),"yyyy/mm/dd"))</f>
        <v/>
      </c>
      <c r="K28" s="129" t="str">
        <f>_xlfn.XLOOKUP(V28,保单录入!$AD$3:$AD$2024,保单录入!$AI$3:$AI$2024,"")</f>
        <v/>
      </c>
      <c r="L28" s="125" t="str">
        <f>_xlfn.XLOOKUP(V28,保单录入!$AD$3:$AD$2024,保单录入!$K$3:$K$2024,"")</f>
        <v/>
      </c>
      <c r="M28" s="125" t="str">
        <f>IF(_xlfn.XLOOKUP(V28,保单录入!$AD$3:$AD$2024,保单录入!$S$3:$S$2024,"")=0,"",_xlfn.XLOOKUP(V28,保单录入!$AD$3:$AD$2024,保单录入!$S$3:$S$2024,""))</f>
        <v/>
      </c>
      <c r="N28" s="15"/>
      <c r="V28" s="38" t="str">
        <f t="shared" si="0"/>
        <v>萧峰15</v>
      </c>
      <c r="W28" s="38">
        <v>15</v>
      </c>
      <c r="X28" s="39" t="str">
        <f>T(_xlfn.XLOOKUP(V28,保单录入!$AD$3:$AD$2024,保单录入!$Y$3:$Y$2024,""))</f>
        <v/>
      </c>
      <c r="Y28" s="39" t="str">
        <v>60岁后额外重疾*</v>
      </c>
      <c r="Z28" s="39">
        <v>1000000</v>
      </c>
      <c r="AA28" s="40"/>
      <c r="AB28" s="39"/>
      <c r="AC28" s="39"/>
      <c r="AD28" s="45"/>
      <c r="AE28" s="45"/>
      <c r="AF28" s="45"/>
      <c r="AG28" s="39"/>
      <c r="AH28" s="39"/>
      <c r="AI28" s="39"/>
      <c r="AJ28" s="36"/>
      <c r="AK28" s="36" t="str" cm="1">
        <f t="array" ref="AK28">IF(AJ28="","","⑤")&amp;IFERROR(_xlfn.REGEXEXTRACT(AJ28, "(?&lt;=特别事宜).*"), "")</f>
        <v/>
      </c>
      <c r="AL28" s="36"/>
    </row>
    <row r="29" spans="2:42" ht="8.85" customHeight="1" x14ac:dyDescent="0.4">
      <c r="L29" s="38"/>
      <c r="Y29" s="39" t="str">
        <v>身故*</v>
      </c>
      <c r="Z29" s="39">
        <v>11000000</v>
      </c>
      <c r="AA29" s="40"/>
      <c r="AB29" s="39"/>
      <c r="AC29" s="39"/>
      <c r="AD29" s="45"/>
      <c r="AE29" s="45"/>
      <c r="AF29" s="45"/>
      <c r="AG29" s="39"/>
      <c r="AH29" s="39"/>
      <c r="AI29" s="39"/>
      <c r="AJ29" s="36"/>
      <c r="AK29" s="36" t="str" cm="1">
        <f t="array" ref="AK29">IF(AJ29="","","⑥")&amp;IFERROR(_xlfn.REGEXEXTRACT(AJ29, "(?&lt;=特别事宜).*"), "")</f>
        <v/>
      </c>
      <c r="AL29" s="36"/>
    </row>
    <row r="30" spans="2:42" ht="25.2" customHeight="1" x14ac:dyDescent="0.4">
      <c r="L30" s="38"/>
      <c r="Y30" s="39" t="str">
        <v>70岁前身故额外*</v>
      </c>
      <c r="Z30" s="39">
        <v>5000000</v>
      </c>
      <c r="AA30" s="40"/>
      <c r="AB30" s="39"/>
      <c r="AC30" s="39"/>
      <c r="AD30" s="45"/>
      <c r="AE30" s="45"/>
      <c r="AF30" s="45"/>
      <c r="AG30" s="39"/>
      <c r="AH30" s="39"/>
      <c r="AI30" s="39"/>
      <c r="AJ30" s="36"/>
      <c r="AK30" s="36" t="str" cm="1">
        <f t="array" ref="AK30">IF(AJ30="","","⑦")&amp;IFERROR(_xlfn.REGEXEXTRACT(AJ30, "(?&lt;=特别事宜).*"), "")</f>
        <v/>
      </c>
      <c r="AL30" s="36"/>
    </row>
    <row r="31" spans="2:42" ht="25.2" customHeight="1" x14ac:dyDescent="0.4">
      <c r="B31" s="18" t="s">
        <v>80</v>
      </c>
      <c r="I31" s="5" t="s">
        <v>102</v>
      </c>
      <c r="K31"/>
      <c r="L31" s="38"/>
      <c r="Y31" s="39" t="str">
        <v>意外伤害*</v>
      </c>
      <c r="Z31" s="39">
        <v>500000</v>
      </c>
      <c r="AA31" s="40"/>
      <c r="AB31" s="39"/>
      <c r="AC31" s="39"/>
      <c r="AD31" s="45"/>
      <c r="AE31" s="45"/>
      <c r="AF31" s="45"/>
      <c r="AG31" s="39"/>
      <c r="AH31" s="39"/>
      <c r="AI31" s="39"/>
      <c r="AJ31" s="36"/>
      <c r="AK31" s="36" t="str" cm="1">
        <f t="array" ref="AK31">IF(AJ31="","","⑧")&amp;IFERROR(_xlfn.REGEXEXTRACT(AJ31, "(?&lt;=特别事宜).*"), "")</f>
        <v/>
      </c>
      <c r="AL31" s="36"/>
    </row>
    <row r="32" spans="2:42" ht="25.2" customHeight="1" x14ac:dyDescent="0.4">
      <c r="B32" s="154"/>
      <c r="C32" s="155"/>
      <c r="D32" s="155"/>
      <c r="E32" s="155"/>
      <c r="F32" s="155"/>
      <c r="G32" s="156"/>
      <c r="H32" s="5"/>
      <c r="I32" s="121" t="s">
        <v>107</v>
      </c>
      <c r="K32"/>
      <c r="L32" s="38"/>
      <c r="Y32" s="39" t="str">
        <v>意外医疗(猫抓狗咬)*</v>
      </c>
      <c r="Z32" s="39">
        <v>30000</v>
      </c>
      <c r="AA32" s="40"/>
      <c r="AB32" s="39"/>
      <c r="AC32" s="39"/>
      <c r="AD32" s="45"/>
      <c r="AE32" s="45"/>
      <c r="AF32" s="45"/>
      <c r="AG32" s="39"/>
      <c r="AH32" s="39"/>
      <c r="AI32" s="39"/>
      <c r="AJ32" s="36"/>
      <c r="AK32" s="36" t="str" cm="1">
        <f t="array" ref="AK32">IF(AJ32="","","⑨")&amp;IFERROR(_xlfn.REGEXEXTRACT(AJ32, "(?&lt;=特别事宜).*"), "")</f>
        <v/>
      </c>
      <c r="AL32" s="36"/>
    </row>
    <row r="33" spans="2:38" ht="25.2" customHeight="1" x14ac:dyDescent="0.4">
      <c r="B33" s="157"/>
      <c r="C33" s="158"/>
      <c r="D33" s="158"/>
      <c r="E33" s="158"/>
      <c r="F33" s="158"/>
      <c r="G33" s="159"/>
      <c r="H33" s="5"/>
      <c r="I33" s="5"/>
      <c r="L33" s="38"/>
      <c r="Y33" s="39" t="str">
        <v>住院医疗*</v>
      </c>
      <c r="Z33" s="39">
        <v>10000</v>
      </c>
      <c r="AA33" s="40"/>
      <c r="AB33" s="39"/>
      <c r="AC33" s="39"/>
      <c r="AD33" s="45"/>
      <c r="AE33" s="45"/>
      <c r="AF33" s="45"/>
      <c r="AG33" s="39"/>
      <c r="AH33" s="39"/>
      <c r="AI33" s="39"/>
      <c r="AJ33" s="36"/>
      <c r="AK33" s="36" t="str" cm="1">
        <f t="array" ref="AK33">IF(AJ33="","","⑩")&amp;IFERROR(_xlfn.REGEXEXTRACT(AJ33, "(?&lt;=特别事宜).*"), "")</f>
        <v/>
      </c>
      <c r="AL33" s="36"/>
    </row>
    <row r="34" spans="2:38" ht="20.100000000000001" customHeight="1" x14ac:dyDescent="0.4">
      <c r="D34" s="5"/>
      <c r="E34" s="5"/>
      <c r="F34" s="5"/>
      <c r="G34" s="5"/>
      <c r="H34" s="5"/>
      <c r="I34" s="5"/>
      <c r="J34" s="5"/>
      <c r="L34" s="5"/>
      <c r="Y34" s="39"/>
      <c r="Z34" s="39"/>
      <c r="AA34" s="40"/>
      <c r="AB34" s="39"/>
      <c r="AC34" s="39"/>
      <c r="AD34" s="45"/>
      <c r="AE34" s="45"/>
      <c r="AF34" s="45"/>
      <c r="AG34" s="39"/>
      <c r="AH34" s="39"/>
      <c r="AI34" s="39"/>
    </row>
    <row r="35" spans="2:38" ht="17.25" customHeight="1" x14ac:dyDescent="0.4">
      <c r="D35" s="33"/>
      <c r="E35" s="33"/>
      <c r="F35" s="33"/>
      <c r="G35" s="33"/>
      <c r="H35" s="33"/>
      <c r="I35" s="110"/>
      <c r="J35" s="110"/>
      <c r="L35" s="5"/>
      <c r="Y35" s="39"/>
      <c r="Z35" s="39"/>
      <c r="AA35" s="40"/>
      <c r="AB35" s="39"/>
      <c r="AC35" s="39"/>
      <c r="AD35" s="45"/>
      <c r="AE35" s="45"/>
      <c r="AF35" s="45"/>
      <c r="AG35" s="39"/>
      <c r="AH35" s="39"/>
      <c r="AI35" s="39"/>
    </row>
    <row r="36" spans="2:38" ht="17.25" customHeight="1" x14ac:dyDescent="0.4">
      <c r="D36" s="5"/>
      <c r="E36" s="5"/>
      <c r="F36" s="5"/>
      <c r="G36" s="5"/>
      <c r="H36" s="5"/>
      <c r="I36" s="5"/>
      <c r="J36" s="5"/>
      <c r="L36" s="5"/>
      <c r="Y36" s="39"/>
      <c r="Z36" s="39"/>
      <c r="AA36" s="40"/>
      <c r="AB36" s="39"/>
      <c r="AC36" s="39"/>
      <c r="AD36" s="45"/>
      <c r="AE36" s="45"/>
      <c r="AF36" s="45"/>
      <c r="AG36" s="39"/>
      <c r="AH36" s="39"/>
      <c r="AI36" s="39"/>
    </row>
    <row r="37" spans="2:38" x14ac:dyDescent="0.4">
      <c r="AG37"/>
      <c r="AH37"/>
      <c r="AI37"/>
    </row>
    <row r="38" spans="2:38" x14ac:dyDescent="0.4">
      <c r="AG38"/>
      <c r="AH38"/>
      <c r="AI38"/>
    </row>
    <row r="39" spans="2:38" x14ac:dyDescent="0.4">
      <c r="AG39"/>
      <c r="AH39"/>
      <c r="AI39"/>
    </row>
    <row r="40" spans="2:38" x14ac:dyDescent="0.4">
      <c r="AG40"/>
      <c r="AH40"/>
      <c r="AI40"/>
    </row>
  </sheetData>
  <sheetProtection algorithmName="SHA-512" hashValue="BSvchoU+/c5ubHOiotfRh8slSfNnfwiftqreObg05HTK1s4BCDm5paD/0cUEjYBFpAMzh827kSeJnPFOtVDGbw==" saltValue="hYenXUFQ0GBSU1e9lcKJlQ==" spinCount="100000" sheet="1" objects="1" scenarios="1"/>
  <protectedRanges>
    <protectedRange sqref="K32" name="周年检视标识"/>
    <protectedRange sqref="B5" name="区域2"/>
    <protectedRange sqref="B32:G33" name="区域1"/>
    <protectedRange sqref="I32" name="隐藏"/>
  </protectedRanges>
  <mergeCells count="3">
    <mergeCell ref="B13:B14"/>
    <mergeCell ref="Q17:Q18"/>
    <mergeCell ref="B32:G33"/>
  </mergeCells>
  <phoneticPr fontId="1" type="noConversion"/>
  <conditionalFormatting sqref="D14:M28">
    <cfRule type="expression" dxfId="5" priority="1">
      <formula>$D14&lt;&gt;""</formula>
    </cfRule>
  </conditionalFormatting>
  <dataValidations count="3">
    <dataValidation type="list" allowBlank="1" showInputMessage="1" showErrorMessage="1" sqref="Q17:Q18" xr:uid="{38F27778-C141-4B8E-88B0-286E151983DB}">
      <formula1>OFFSET(W1,,,COUNTA(W1:W5),)</formula1>
    </dataValidation>
    <dataValidation type="list" allowBlank="1" showInputMessage="1" showErrorMessage="1" sqref="B5" xr:uid="{60604090-D55E-4D09-A92A-D2E361A54A11}">
      <formula1>OFFSET(W1,,,COUNTA(W1:W5),)</formula1>
    </dataValidation>
    <dataValidation type="list" allowBlank="1" showInputMessage="1" showErrorMessage="1" sqref="I32" xr:uid="{3437952E-AEBD-44D9-988A-E8787EDB1BEB}">
      <formula1>"隐藏,否"</formula1>
    </dataValidation>
  </dataValidations>
  <printOptions horizontalCentered="1" verticalCentered="1"/>
  <pageMargins left="0.15748031496062992" right="0" top="0.11811023622047245" bottom="0.11811023622047245" header="7.874015748031496E-2" footer="0.11811023622047245"/>
  <pageSetup paperSize="9" scale="64"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1C7350-1EDA-47DD-B366-313ADE4A6794}">
  <sheetPr codeName="Sheet4">
    <tabColor rgb="FFFF7C80"/>
    <pageSetUpPr fitToPage="1"/>
  </sheetPr>
  <dimension ref="B1:Y500"/>
  <sheetViews>
    <sheetView showGridLines="0" zoomScaleNormal="100" workbookViewId="0">
      <selection activeCell="L18" sqref="L18"/>
    </sheetView>
  </sheetViews>
  <sheetFormatPr defaultColWidth="9.33203125" defaultRowHeight="24.6" x14ac:dyDescent="0.6"/>
  <cols>
    <col min="1" max="1" width="1.77734375" style="94" customWidth="1"/>
    <col min="2" max="2" width="12" style="93" customWidth="1"/>
    <col min="3" max="3" width="26.109375" style="93" customWidth="1"/>
    <col min="4" max="4" width="21.109375" style="96" customWidth="1"/>
    <col min="5" max="5" width="18.109375" style="97" customWidth="1"/>
    <col min="6" max="6" width="18.33203125" style="93" customWidth="1"/>
    <col min="7" max="7" width="13.33203125" style="93" bestFit="1" customWidth="1"/>
    <col min="8" max="8" width="31.44140625" style="93" customWidth="1"/>
    <col min="9" max="9" width="11.21875" style="93" customWidth="1"/>
    <col min="10" max="10" width="14" style="93" customWidth="1"/>
    <col min="11" max="11" width="2.77734375" style="94" customWidth="1"/>
    <col min="12" max="12" width="14.21875" style="94" customWidth="1"/>
    <col min="13" max="13" width="17.88671875" style="94" customWidth="1"/>
    <col min="14" max="14" width="1.44140625" style="94" customWidth="1"/>
    <col min="15" max="15" width="12.33203125" style="93" customWidth="1"/>
    <col min="16" max="16" width="32.21875" style="93" customWidth="1"/>
    <col min="17" max="17" width="20.44140625" style="96" customWidth="1"/>
    <col min="18" max="18" width="18.88671875" style="97" customWidth="1"/>
    <col min="19" max="19" width="19.33203125" style="93" customWidth="1"/>
    <col min="20" max="20" width="14.77734375" style="93" customWidth="1"/>
    <col min="21" max="21" width="34.33203125" style="93" customWidth="1"/>
    <col min="22" max="22" width="8.33203125" style="94" hidden="1" customWidth="1"/>
    <col min="23" max="23" width="12.33203125" style="94" hidden="1" customWidth="1"/>
    <col min="24" max="24" width="10.77734375" style="94" hidden="1" customWidth="1"/>
    <col min="25" max="25" width="13.44140625" style="94" hidden="1" customWidth="1"/>
    <col min="26" max="26" width="21.77734375" style="94" bestFit="1" customWidth="1"/>
    <col min="27" max="27" width="12.33203125" style="94" bestFit="1" customWidth="1"/>
    <col min="28" max="28" width="6.88671875" style="94" bestFit="1" customWidth="1"/>
    <col min="29" max="29" width="12" style="94" bestFit="1" customWidth="1"/>
    <col min="30" max="30" width="16.33203125" style="94" bestFit="1" customWidth="1"/>
    <col min="31" max="32" width="14.88671875" style="94" bestFit="1" customWidth="1"/>
    <col min="33" max="33" width="8.33203125" style="94" bestFit="1" customWidth="1"/>
    <col min="34" max="34" width="6.21875" style="94" bestFit="1" customWidth="1"/>
    <col min="35" max="35" width="4.77734375" style="94" bestFit="1" customWidth="1"/>
    <col min="36" max="43" width="9.33203125" style="94"/>
    <col min="44" max="44" width="4.77734375" style="94" bestFit="1" customWidth="1"/>
    <col min="45" max="16384" width="9.33203125" style="94"/>
  </cols>
  <sheetData>
    <row r="1" spans="2:25" ht="66" customHeight="1" x14ac:dyDescent="0.6">
      <c r="B1" s="161"/>
      <c r="C1" s="161"/>
      <c r="D1" s="161"/>
      <c r="E1" s="9"/>
      <c r="P1" s="95"/>
    </row>
    <row r="2" spans="2:25" ht="46.5" customHeight="1" x14ac:dyDescent="0.6">
      <c r="B2" s="163" t="s">
        <v>184</v>
      </c>
      <c r="C2" s="163"/>
      <c r="D2" s="163"/>
      <c r="E2" s="163"/>
      <c r="F2" s="163"/>
      <c r="G2" s="163"/>
      <c r="H2" s="163"/>
      <c r="I2" s="163"/>
      <c r="J2" s="163"/>
      <c r="K2" s="93"/>
      <c r="L2" s="162" t="s">
        <v>147</v>
      </c>
      <c r="M2" s="162"/>
      <c r="N2" s="93"/>
      <c r="O2" s="160" t="s">
        <v>33</v>
      </c>
      <c r="P2" s="160"/>
      <c r="Q2" s="160"/>
      <c r="R2" s="160"/>
      <c r="S2" s="160"/>
      <c r="T2" s="160"/>
      <c r="U2" s="160"/>
    </row>
    <row r="3" spans="2:25" s="98" customFormat="1" ht="27" customHeight="1" x14ac:dyDescent="0.25">
      <c r="B3" s="12" t="s">
        <v>20</v>
      </c>
      <c r="C3" s="12" t="s">
        <v>19</v>
      </c>
      <c r="D3" s="13" t="s">
        <v>26</v>
      </c>
      <c r="E3" s="14" t="s">
        <v>10</v>
      </c>
      <c r="F3" s="12" t="s">
        <v>27</v>
      </c>
      <c r="G3" s="12" t="s">
        <v>12</v>
      </c>
      <c r="H3" s="12" t="s">
        <v>28</v>
      </c>
      <c r="I3" s="12" t="s">
        <v>34</v>
      </c>
      <c r="J3" s="12" t="s">
        <v>183</v>
      </c>
      <c r="K3" s="8"/>
      <c r="L3" s="23" t="s">
        <v>63</v>
      </c>
      <c r="M3" s="23" t="s">
        <v>146</v>
      </c>
      <c r="N3" s="8"/>
      <c r="O3" s="12" t="s">
        <v>20</v>
      </c>
      <c r="P3" s="12" t="s">
        <v>19</v>
      </c>
      <c r="Q3" s="13" t="s">
        <v>26</v>
      </c>
      <c r="R3" s="14" t="s">
        <v>10</v>
      </c>
      <c r="S3" s="12" t="s">
        <v>27</v>
      </c>
      <c r="T3" s="12" t="s">
        <v>12</v>
      </c>
      <c r="U3" s="12" t="s">
        <v>28</v>
      </c>
      <c r="V3" s="98" t="s">
        <v>29</v>
      </c>
      <c r="W3" s="98" t="s">
        <v>30</v>
      </c>
      <c r="X3" s="98" t="s">
        <v>31</v>
      </c>
      <c r="Y3" s="98" t="s">
        <v>32</v>
      </c>
    </row>
    <row r="4" spans="2:25" x14ac:dyDescent="0.6">
      <c r="B4" s="92" t="str" cm="1">
        <f t="array" aca="1" ref="B4:J12" ca="1">_xlfn.LET(_xlpm.fanwei,_xlfn._xlws.FILTER(_xlfn.HSTACK(保单录入!$K$2:$K$10000,保单录入!$D$2:$D$10000,保单录入!$F$2:$F$10000,保单录入!$H$2:$H$10000,保单录入!$L$2:$L$10000,保单录入!$N$2:$N$10000,保单录入!$O$2:$O$10000,保单录入!$AG$2:$AG$10000,保单录入!$AR$2:$AR$10000),(保单录入!$AF$2:$AF$10000&gt;=-60)*(保单录入!$AF$2:$AF$10000&lt;=15),""),IFERROR(_xlfn._xlws.SORT(_xlfn._xlws.FILTER(_xlpm.fanwei,_xlfn.CHOOSECOLS(_xlpm.fanwei,1)&lt;&gt;0,""),4,1),"暂无"))</f>
        <v>段誉</v>
      </c>
      <c r="C4" s="92" t="str">
        <f ca="1"/>
        <v>大理无忧</v>
      </c>
      <c r="D4" s="99">
        <f ca="1"/>
        <v>100000</v>
      </c>
      <c r="E4" s="100">
        <f ca="1"/>
        <v>44094</v>
      </c>
      <c r="F4" s="92" t="str">
        <f ca="1"/>
        <v>12001</v>
      </c>
      <c r="G4" s="92" t="str">
        <f ca="1"/>
        <v>大理商行</v>
      </c>
      <c r="H4" s="92" t="str">
        <f ca="1"/>
        <v>020</v>
      </c>
      <c r="I4" s="92" t="str">
        <f ca="1"/>
        <v>6/20</v>
      </c>
      <c r="J4" s="100">
        <f ca="1"/>
        <v>45980</v>
      </c>
      <c r="K4" s="101"/>
      <c r="L4" s="102" t="str" cm="1">
        <f t="array" aca="1" ref="L4" ca="1">IFERROR(_xlfn._xlws.SORT(_xlfn.UNIQUE(_xlfn._xlws.FILTER(_xlfn.HSTACK(_xlfn.ANCHORARRAY(保单录入!AO3),_xlfn.ANCHORARRAY(保单录入!AP3)),(_xlfn.ANCHORARRAY(保单录入!AN3)&lt;=0)*(_xlfn.ANCHORARRAY(保单录入!AN3)&gt;=-15)),,TRUE),2,1,FALSE),"暂无")</f>
        <v>暂无</v>
      </c>
      <c r="M4" s="103"/>
      <c r="N4" s="101"/>
      <c r="O4" s="92" t="str" cm="1">
        <f t="array" aca="1" ref="O4" ca="1">_xlfn.LET(_xlpm.array,_xlfn._xlws.FILTER(_xlfn.HSTACK(保单录入!$K$2:$K$10000,保单录入!$D$2:$D$10000,保单录入!$F$2:$F$10000,保单录入!$H$2:$H$10000,保单录入!$L$2:$L$10000,保单录入!$N$2:$N$10000,保单录入!$O$2:$O$10000),(保单录入!$AE$2:$AE$10000&lt;=0)*(保单录入!$AE$2:$AE$10000&gt;=-30)),IFERROR(_xlfn._xlws.SORT(_xlfn._xlws.FILTER(_xlpm.array,_xlfn.CHOOSECOLS(_xlpm.array,1)&lt;&gt;0),4,1),"暂无"))</f>
        <v>暂无</v>
      </c>
      <c r="P4" s="92"/>
      <c r="Q4" s="99"/>
      <c r="R4" s="100"/>
      <c r="S4" s="92"/>
      <c r="T4" s="92"/>
      <c r="U4" s="92"/>
      <c r="V4" s="94">
        <f ca="1">IF(B4&lt;&gt;"",1,"")</f>
        <v>1</v>
      </c>
      <c r="W4" s="94">
        <f ca="1">IFERROR(IF(ISEVEN(V4)=FALSE,0,1),0)</f>
        <v>0</v>
      </c>
      <c r="X4" s="94">
        <f ca="1">IF(O4&lt;&gt;"",1,"")</f>
        <v>1</v>
      </c>
      <c r="Y4" s="94">
        <f ca="1">IFERROR(IF(ISEVEN(X4)=FALSE,0,1),0)</f>
        <v>0</v>
      </c>
    </row>
    <row r="5" spans="2:25" x14ac:dyDescent="0.6">
      <c r="B5" s="92" t="str">
        <f ca="1"/>
        <v>段誉</v>
      </c>
      <c r="C5" s="92" t="str">
        <f ca="1"/>
        <v>大理无忧</v>
      </c>
      <c r="D5" s="99">
        <f ca="1"/>
        <v>0</v>
      </c>
      <c r="E5" s="100">
        <f ca="1"/>
        <v>44094</v>
      </c>
      <c r="F5" s="92" t="str">
        <f ca="1"/>
        <v>12001</v>
      </c>
      <c r="G5" s="92" t="str">
        <f ca="1"/>
        <v>大理商行</v>
      </c>
      <c r="H5" s="92" t="str">
        <f ca="1"/>
        <v>020</v>
      </c>
      <c r="I5" s="92" t="str">
        <f ca="1"/>
        <v>6/20</v>
      </c>
      <c r="J5" s="100" t="str">
        <f ca="1"/>
        <v>详见合同约定</v>
      </c>
      <c r="K5" s="101"/>
      <c r="L5" s="102"/>
      <c r="M5" s="103"/>
      <c r="N5" s="101"/>
      <c r="O5" s="92"/>
      <c r="P5" s="92"/>
      <c r="Q5" s="99"/>
      <c r="R5" s="100"/>
      <c r="S5" s="92"/>
      <c r="T5" s="92"/>
      <c r="U5" s="92"/>
      <c r="V5" s="94">
        <f t="shared" ref="V5:V68" ca="1" si="0">IF(B5&lt;&gt;"",V4+1,"")</f>
        <v>2</v>
      </c>
      <c r="W5" s="94">
        <f t="shared" ref="W5:W68" ca="1" si="1">IFERROR(IF(ISEVEN(V5)=FALSE,0,1),0)</f>
        <v>1</v>
      </c>
      <c r="X5" s="94" t="str">
        <f>IF(O5&lt;&gt;"",X4+1,"")</f>
        <v/>
      </c>
      <c r="Y5" s="94">
        <f t="shared" ref="Y5:Y68" si="2">IFERROR(IF(ISEVEN(X5)=FALSE,0,1),0)</f>
        <v>0</v>
      </c>
    </row>
    <row r="6" spans="2:25" x14ac:dyDescent="0.6">
      <c r="B6" s="92" t="str">
        <f ca="1"/>
        <v>段誉</v>
      </c>
      <c r="C6" s="92" t="str">
        <f ca="1"/>
        <v>大理百万传承</v>
      </c>
      <c r="D6" s="99">
        <f ca="1"/>
        <v>5000</v>
      </c>
      <c r="E6" s="100">
        <f ca="1"/>
        <v>44094</v>
      </c>
      <c r="F6" s="92" t="str">
        <f ca="1"/>
        <v>12001</v>
      </c>
      <c r="G6" s="92" t="str">
        <f ca="1"/>
        <v>大理商行</v>
      </c>
      <c r="H6" s="92" t="str">
        <f ca="1"/>
        <v>020</v>
      </c>
      <c r="I6" s="92" t="str">
        <f ca="1"/>
        <v>6/20</v>
      </c>
      <c r="J6" s="100">
        <f ca="1"/>
        <v>45980</v>
      </c>
      <c r="K6" s="101"/>
      <c r="L6" s="102"/>
      <c r="M6" s="103"/>
      <c r="N6" s="101"/>
      <c r="O6" s="92"/>
      <c r="P6" s="92"/>
      <c r="Q6" s="99"/>
      <c r="R6" s="100"/>
      <c r="S6" s="92"/>
      <c r="T6" s="92"/>
      <c r="U6" s="92"/>
      <c r="V6" s="94">
        <f t="shared" ca="1" si="0"/>
        <v>3</v>
      </c>
      <c r="W6" s="94">
        <f t="shared" ca="1" si="1"/>
        <v>0</v>
      </c>
      <c r="X6" s="94" t="str">
        <f t="shared" ref="X6:X69" si="3">IF(O6&lt;&gt;"",X5+1,"")</f>
        <v/>
      </c>
      <c r="Y6" s="94">
        <f t="shared" si="2"/>
        <v>0</v>
      </c>
    </row>
    <row r="7" spans="2:25" x14ac:dyDescent="0.6">
      <c r="B7" s="92" t="str">
        <f ca="1"/>
        <v>段誉</v>
      </c>
      <c r="C7" s="92" t="str">
        <f ca="1"/>
        <v>大理百万传承</v>
      </c>
      <c r="D7" s="99">
        <f ca="1"/>
        <v>4500</v>
      </c>
      <c r="E7" s="100">
        <f ca="1"/>
        <v>44094</v>
      </c>
      <c r="F7" s="92" t="str">
        <f ca="1"/>
        <v>12001</v>
      </c>
      <c r="G7" s="92" t="str">
        <f ca="1"/>
        <v>大理商行</v>
      </c>
      <c r="H7" s="92" t="str">
        <f ca="1"/>
        <v>020</v>
      </c>
      <c r="I7" s="92" t="str">
        <f ca="1"/>
        <v>6/20</v>
      </c>
      <c r="J7" s="100">
        <f ca="1"/>
        <v>45980</v>
      </c>
      <c r="K7" s="101"/>
      <c r="L7" s="102"/>
      <c r="M7" s="103"/>
      <c r="N7" s="101"/>
      <c r="O7" s="92"/>
      <c r="P7" s="92"/>
      <c r="Q7" s="99"/>
      <c r="R7" s="100"/>
      <c r="S7" s="92"/>
      <c r="T7" s="92"/>
      <c r="U7" s="92"/>
      <c r="V7" s="94">
        <f t="shared" ca="1" si="0"/>
        <v>4</v>
      </c>
      <c r="W7" s="94">
        <f t="shared" ca="1" si="1"/>
        <v>1</v>
      </c>
      <c r="X7" s="94" t="str">
        <f t="shared" si="3"/>
        <v/>
      </c>
      <c r="Y7" s="94">
        <f t="shared" si="2"/>
        <v>0</v>
      </c>
    </row>
    <row r="8" spans="2:25" x14ac:dyDescent="0.6">
      <c r="B8" s="92" t="str">
        <f ca="1"/>
        <v>段誉</v>
      </c>
      <c r="C8" s="92" t="str">
        <f ca="1"/>
        <v>大理恒福</v>
      </c>
      <c r="D8" s="99">
        <f ca="1"/>
        <v>9999</v>
      </c>
      <c r="E8" s="100">
        <f ca="1"/>
        <v>44094</v>
      </c>
      <c r="F8" s="92" t="str">
        <f ca="1"/>
        <v>12001</v>
      </c>
      <c r="G8" s="92" t="str">
        <f ca="1"/>
        <v>大理商行</v>
      </c>
      <c r="H8" s="92" t="str">
        <f ca="1"/>
        <v>020</v>
      </c>
      <c r="I8" s="92" t="str">
        <f ca="1"/>
        <v>6/20</v>
      </c>
      <c r="J8" s="100">
        <f ca="1"/>
        <v>45980</v>
      </c>
      <c r="K8" s="101"/>
      <c r="L8" s="102"/>
      <c r="M8" s="103"/>
      <c r="N8" s="101"/>
      <c r="O8" s="92"/>
      <c r="P8" s="92"/>
      <c r="Q8" s="99"/>
      <c r="R8" s="100"/>
      <c r="S8" s="92"/>
      <c r="T8" s="92"/>
      <c r="U8" s="92"/>
      <c r="V8" s="94">
        <f t="shared" ca="1" si="0"/>
        <v>5</v>
      </c>
      <c r="W8" s="94">
        <f t="shared" ca="1" si="1"/>
        <v>0</v>
      </c>
      <c r="X8" s="94" t="str">
        <f t="shared" si="3"/>
        <v/>
      </c>
      <c r="Y8" s="94">
        <f t="shared" si="2"/>
        <v>0</v>
      </c>
    </row>
    <row r="9" spans="2:25" x14ac:dyDescent="0.6">
      <c r="B9" s="92" t="str">
        <f ca="1"/>
        <v>段正淳</v>
      </c>
      <c r="C9" s="92" t="str">
        <f ca="1"/>
        <v>大理瑞享年年</v>
      </c>
      <c r="D9" s="99">
        <f ca="1"/>
        <v>3000000</v>
      </c>
      <c r="E9" s="100">
        <f ca="1"/>
        <v>45199</v>
      </c>
      <c r="F9" s="92" t="str">
        <f ca="1"/>
        <v>12100</v>
      </c>
      <c r="G9" s="92" t="str">
        <f ca="1"/>
        <v>大理商行</v>
      </c>
      <c r="H9" s="92" t="str">
        <f ca="1"/>
        <v>021</v>
      </c>
      <c r="I9" s="92" t="str">
        <f ca="1"/>
        <v>3/3</v>
      </c>
      <c r="J9" s="100">
        <f ca="1"/>
        <v>45990</v>
      </c>
      <c r="K9" s="101"/>
      <c r="L9" s="102"/>
      <c r="M9" s="103"/>
      <c r="N9" s="101"/>
      <c r="O9" s="92"/>
      <c r="P9" s="92"/>
      <c r="Q9" s="99"/>
      <c r="R9" s="100"/>
      <c r="S9" s="92"/>
      <c r="T9" s="92"/>
      <c r="U9" s="92"/>
      <c r="V9" s="94">
        <f t="shared" ca="1" si="0"/>
        <v>6</v>
      </c>
      <c r="W9" s="94">
        <f t="shared" ca="1" si="1"/>
        <v>1</v>
      </c>
      <c r="X9" s="94" t="str">
        <f>IF(O9&lt;&gt;"",X8+1,"")</f>
        <v/>
      </c>
      <c r="Y9" s="94">
        <f t="shared" si="2"/>
        <v>0</v>
      </c>
    </row>
    <row r="10" spans="2:25" x14ac:dyDescent="0.6">
      <c r="B10" s="92" t="str">
        <f ca="1"/>
        <v>萧峰</v>
      </c>
      <c r="C10" s="92" t="str">
        <f ca="1"/>
        <v>南院尊</v>
      </c>
      <c r="D10" s="99">
        <f ca="1"/>
        <v>1000000</v>
      </c>
      <c r="E10" s="100">
        <f ca="1"/>
        <v>45545</v>
      </c>
      <c r="F10" s="92" t="str">
        <f ca="1"/>
        <v>13001</v>
      </c>
      <c r="G10" s="92" t="str">
        <f ca="1"/>
        <v>大辽铁契</v>
      </c>
      <c r="H10" s="92" t="str">
        <f ca="1"/>
        <v>001</v>
      </c>
      <c r="I10" s="92" t="str">
        <f ca="1"/>
        <v>2/5</v>
      </c>
      <c r="J10" s="100">
        <f ca="1"/>
        <v>45970</v>
      </c>
      <c r="K10" s="101"/>
      <c r="L10" s="102"/>
      <c r="M10" s="103"/>
      <c r="N10" s="101"/>
      <c r="O10" s="92"/>
      <c r="P10" s="92"/>
      <c r="Q10" s="99"/>
      <c r="R10" s="100"/>
      <c r="S10" s="92"/>
      <c r="T10" s="92"/>
      <c r="U10" s="92"/>
      <c r="V10" s="94">
        <f t="shared" ca="1" si="0"/>
        <v>7</v>
      </c>
      <c r="W10" s="94">
        <f t="shared" ca="1" si="1"/>
        <v>0</v>
      </c>
      <c r="X10" s="94" t="str">
        <f t="shared" si="3"/>
        <v/>
      </c>
      <c r="Y10" s="94">
        <f t="shared" si="2"/>
        <v>0</v>
      </c>
    </row>
    <row r="11" spans="2:25" x14ac:dyDescent="0.6">
      <c r="B11" s="92" t="str">
        <f ca="1"/>
        <v>萧峰</v>
      </c>
      <c r="C11" s="92" t="str">
        <f ca="1"/>
        <v>南院享</v>
      </c>
      <c r="D11" s="99">
        <f ca="1"/>
        <v>1000000</v>
      </c>
      <c r="E11" s="100">
        <f ca="1"/>
        <v>45560</v>
      </c>
      <c r="F11" s="92" t="str">
        <f ca="1"/>
        <v>13001</v>
      </c>
      <c r="G11" s="92" t="str">
        <f ca="1"/>
        <v>大辽铁契</v>
      </c>
      <c r="H11" s="92" t="str">
        <f ca="1"/>
        <v>001</v>
      </c>
      <c r="I11" s="92" t="str">
        <f ca="1"/>
        <v>2/3</v>
      </c>
      <c r="J11" s="100">
        <f ca="1"/>
        <v>45985</v>
      </c>
      <c r="K11" s="101"/>
      <c r="L11" s="102"/>
      <c r="M11" s="103"/>
      <c r="N11" s="101"/>
      <c r="O11" s="92"/>
      <c r="P11" s="92"/>
      <c r="Q11" s="99"/>
      <c r="R11" s="100"/>
      <c r="S11" s="92"/>
      <c r="T11" s="92"/>
      <c r="U11" s="92"/>
      <c r="V11" s="94">
        <f t="shared" ca="1" si="0"/>
        <v>8</v>
      </c>
      <c r="W11" s="94">
        <f t="shared" ca="1" si="1"/>
        <v>1</v>
      </c>
      <c r="X11" s="94" t="str">
        <f t="shared" si="3"/>
        <v/>
      </c>
      <c r="Y11" s="94">
        <f t="shared" si="2"/>
        <v>0</v>
      </c>
    </row>
    <row r="12" spans="2:25" x14ac:dyDescent="0.6">
      <c r="B12" s="92" t="str">
        <f ca="1"/>
        <v>萧峰</v>
      </c>
      <c r="C12" s="92" t="str">
        <f ca="1"/>
        <v>大理安心行</v>
      </c>
      <c r="D12" s="99">
        <f ca="1"/>
        <v>360</v>
      </c>
      <c r="E12" s="100">
        <f ca="1"/>
        <v>45565</v>
      </c>
      <c r="F12" s="92" t="str">
        <f ca="1"/>
        <v>13001</v>
      </c>
      <c r="G12" s="92" t="str">
        <f ca="1"/>
        <v>大辽铁契</v>
      </c>
      <c r="H12" s="92" t="str">
        <f ca="1"/>
        <v>001</v>
      </c>
      <c r="I12" s="92" t="str">
        <f ca="1"/>
        <v>2/2</v>
      </c>
      <c r="J12" s="100" t="str">
        <f ca="1"/>
        <v>详见合同约定</v>
      </c>
      <c r="K12" s="101"/>
      <c r="L12" s="102"/>
      <c r="M12" s="103"/>
      <c r="N12" s="101"/>
      <c r="O12" s="92"/>
      <c r="P12" s="92"/>
      <c r="Q12" s="99"/>
      <c r="R12" s="100"/>
      <c r="S12" s="92"/>
      <c r="T12" s="92"/>
      <c r="U12" s="92"/>
      <c r="V12" s="94">
        <f t="shared" ca="1" si="0"/>
        <v>9</v>
      </c>
      <c r="W12" s="94">
        <f t="shared" ca="1" si="1"/>
        <v>0</v>
      </c>
      <c r="X12" s="94" t="str">
        <f t="shared" si="3"/>
        <v/>
      </c>
      <c r="Y12" s="94">
        <f t="shared" si="2"/>
        <v>0</v>
      </c>
    </row>
    <row r="13" spans="2:25" x14ac:dyDescent="0.6">
      <c r="B13" s="92"/>
      <c r="C13" s="92"/>
      <c r="D13" s="99"/>
      <c r="E13" s="100"/>
      <c r="F13" s="92"/>
      <c r="G13" s="92"/>
      <c r="H13" s="92"/>
      <c r="I13" s="92"/>
      <c r="J13" s="100"/>
      <c r="K13" s="101"/>
      <c r="L13" s="102"/>
      <c r="M13" s="103"/>
      <c r="N13" s="101"/>
      <c r="O13" s="92"/>
      <c r="P13" s="92"/>
      <c r="Q13" s="99"/>
      <c r="R13" s="100"/>
      <c r="S13" s="92"/>
      <c r="T13" s="92"/>
      <c r="U13" s="92"/>
      <c r="V13" s="94" t="str">
        <f t="shared" si="0"/>
        <v/>
      </c>
      <c r="W13" s="94">
        <f t="shared" si="1"/>
        <v>0</v>
      </c>
      <c r="X13" s="94" t="str">
        <f t="shared" si="3"/>
        <v/>
      </c>
      <c r="Y13" s="94">
        <f t="shared" si="2"/>
        <v>0</v>
      </c>
    </row>
    <row r="14" spans="2:25" x14ac:dyDescent="0.6">
      <c r="B14" s="92"/>
      <c r="C14" s="92"/>
      <c r="D14" s="99"/>
      <c r="E14" s="100"/>
      <c r="F14" s="92"/>
      <c r="G14" s="92"/>
      <c r="H14" s="92"/>
      <c r="I14" s="92"/>
      <c r="J14" s="100"/>
      <c r="K14" s="101"/>
      <c r="L14" s="102"/>
      <c r="M14" s="103"/>
      <c r="N14" s="101"/>
      <c r="O14" s="92"/>
      <c r="P14" s="92"/>
      <c r="Q14" s="99"/>
      <c r="R14" s="100"/>
      <c r="S14" s="92"/>
      <c r="T14" s="92"/>
      <c r="U14" s="92"/>
      <c r="V14" s="94" t="str">
        <f t="shared" si="0"/>
        <v/>
      </c>
      <c r="W14" s="94">
        <f t="shared" si="1"/>
        <v>0</v>
      </c>
      <c r="X14" s="94" t="str">
        <f t="shared" si="3"/>
        <v/>
      </c>
      <c r="Y14" s="94">
        <f t="shared" si="2"/>
        <v>0</v>
      </c>
    </row>
    <row r="15" spans="2:25" x14ac:dyDescent="0.6">
      <c r="B15" s="92"/>
      <c r="C15" s="92"/>
      <c r="D15" s="99"/>
      <c r="E15" s="100"/>
      <c r="F15" s="92"/>
      <c r="G15" s="92"/>
      <c r="H15" s="92"/>
      <c r="I15" s="92"/>
      <c r="J15" s="100"/>
      <c r="K15" s="101"/>
      <c r="L15" s="102"/>
      <c r="M15" s="103"/>
      <c r="N15" s="101"/>
      <c r="O15" s="92"/>
      <c r="P15" s="92"/>
      <c r="Q15" s="99"/>
      <c r="R15" s="100"/>
      <c r="S15" s="92"/>
      <c r="T15" s="92"/>
      <c r="U15" s="92"/>
      <c r="V15" s="94" t="str">
        <f t="shared" si="0"/>
        <v/>
      </c>
      <c r="W15" s="94">
        <f t="shared" si="1"/>
        <v>0</v>
      </c>
      <c r="X15" s="94" t="str">
        <f t="shared" si="3"/>
        <v/>
      </c>
      <c r="Y15" s="94">
        <f t="shared" si="2"/>
        <v>0</v>
      </c>
    </row>
    <row r="16" spans="2:25" x14ac:dyDescent="0.6">
      <c r="B16" s="92"/>
      <c r="C16" s="92"/>
      <c r="D16" s="99"/>
      <c r="E16" s="100"/>
      <c r="F16" s="92"/>
      <c r="G16" s="92"/>
      <c r="H16" s="92"/>
      <c r="I16" s="92"/>
      <c r="J16" s="100"/>
      <c r="K16" s="101"/>
      <c r="L16" s="102"/>
      <c r="M16" s="103"/>
      <c r="N16" s="101"/>
      <c r="O16" s="92"/>
      <c r="P16" s="92"/>
      <c r="Q16" s="99"/>
      <c r="R16" s="100"/>
      <c r="S16" s="92"/>
      <c r="T16" s="92"/>
      <c r="U16" s="92"/>
      <c r="V16" s="94" t="str">
        <f t="shared" si="0"/>
        <v/>
      </c>
      <c r="W16" s="94">
        <f t="shared" si="1"/>
        <v>0</v>
      </c>
      <c r="X16" s="94" t="str">
        <f t="shared" si="3"/>
        <v/>
      </c>
      <c r="Y16" s="94">
        <f t="shared" si="2"/>
        <v>0</v>
      </c>
    </row>
    <row r="17" spans="2:25" x14ac:dyDescent="0.6">
      <c r="B17" s="92"/>
      <c r="C17" s="92"/>
      <c r="D17" s="99"/>
      <c r="E17" s="100"/>
      <c r="F17" s="92"/>
      <c r="G17" s="92"/>
      <c r="H17" s="92"/>
      <c r="I17" s="92"/>
      <c r="J17" s="100"/>
      <c r="L17" s="102"/>
      <c r="M17" s="103"/>
      <c r="O17" s="92"/>
      <c r="P17" s="92"/>
      <c r="Q17" s="99"/>
      <c r="R17" s="100"/>
      <c r="S17" s="92"/>
      <c r="T17" s="92"/>
      <c r="U17" s="92"/>
      <c r="V17" s="94" t="str">
        <f t="shared" si="0"/>
        <v/>
      </c>
      <c r="W17" s="94">
        <f t="shared" si="1"/>
        <v>0</v>
      </c>
      <c r="X17" s="94" t="str">
        <f t="shared" si="3"/>
        <v/>
      </c>
      <c r="Y17" s="94">
        <f t="shared" si="2"/>
        <v>0</v>
      </c>
    </row>
    <row r="18" spans="2:25" x14ac:dyDescent="0.6">
      <c r="B18" s="92"/>
      <c r="C18" s="92"/>
      <c r="D18" s="99"/>
      <c r="E18" s="100"/>
      <c r="F18" s="92"/>
      <c r="G18" s="92"/>
      <c r="H18" s="92"/>
      <c r="I18" s="92"/>
      <c r="J18" s="100"/>
      <c r="L18" s="102"/>
      <c r="M18" s="103"/>
      <c r="O18" s="92"/>
      <c r="P18" s="92"/>
      <c r="Q18" s="99"/>
      <c r="R18" s="100"/>
      <c r="S18" s="92"/>
      <c r="T18" s="92"/>
      <c r="U18" s="92"/>
      <c r="V18" s="94" t="str">
        <f t="shared" si="0"/>
        <v/>
      </c>
      <c r="W18" s="94">
        <f t="shared" si="1"/>
        <v>0</v>
      </c>
      <c r="X18" s="94" t="str">
        <f t="shared" si="3"/>
        <v/>
      </c>
      <c r="Y18" s="94">
        <f t="shared" si="2"/>
        <v>0</v>
      </c>
    </row>
    <row r="19" spans="2:25" x14ac:dyDescent="0.6">
      <c r="B19" s="92"/>
      <c r="C19" s="92"/>
      <c r="D19" s="99"/>
      <c r="E19" s="100"/>
      <c r="F19" s="92"/>
      <c r="G19" s="92"/>
      <c r="H19" s="92"/>
      <c r="I19" s="92"/>
      <c r="J19" s="100"/>
      <c r="L19" s="102"/>
      <c r="M19" s="103"/>
      <c r="O19" s="92"/>
      <c r="P19" s="92"/>
      <c r="Q19" s="99"/>
      <c r="R19" s="100"/>
      <c r="S19" s="92"/>
      <c r="T19" s="92"/>
      <c r="U19" s="92"/>
      <c r="V19" s="94" t="str">
        <f t="shared" si="0"/>
        <v/>
      </c>
      <c r="W19" s="94">
        <f t="shared" si="1"/>
        <v>0</v>
      </c>
      <c r="X19" s="94" t="str">
        <f t="shared" si="3"/>
        <v/>
      </c>
      <c r="Y19" s="94">
        <f t="shared" si="2"/>
        <v>0</v>
      </c>
    </row>
    <row r="20" spans="2:25" x14ac:dyDescent="0.6">
      <c r="B20" s="92"/>
      <c r="C20" s="92"/>
      <c r="D20" s="99"/>
      <c r="E20" s="100"/>
      <c r="F20" s="92"/>
      <c r="G20" s="92"/>
      <c r="H20" s="92"/>
      <c r="I20" s="92"/>
      <c r="J20" s="100"/>
      <c r="L20" s="102"/>
      <c r="M20" s="103"/>
      <c r="O20" s="92"/>
      <c r="P20" s="92"/>
      <c r="Q20" s="99"/>
      <c r="R20" s="100"/>
      <c r="S20" s="92"/>
      <c r="T20" s="92"/>
      <c r="U20" s="92"/>
      <c r="V20" s="94" t="str">
        <f t="shared" si="0"/>
        <v/>
      </c>
      <c r="W20" s="94">
        <f t="shared" si="1"/>
        <v>0</v>
      </c>
      <c r="X20" s="94" t="str">
        <f t="shared" si="3"/>
        <v/>
      </c>
      <c r="Y20" s="94">
        <f t="shared" si="2"/>
        <v>0</v>
      </c>
    </row>
    <row r="21" spans="2:25" x14ac:dyDescent="0.6">
      <c r="B21" s="92"/>
      <c r="C21" s="92"/>
      <c r="D21" s="99"/>
      <c r="E21" s="100"/>
      <c r="F21" s="92"/>
      <c r="G21" s="92"/>
      <c r="H21" s="92"/>
      <c r="I21" s="92"/>
      <c r="J21" s="100"/>
      <c r="L21" s="102"/>
      <c r="M21" s="103"/>
      <c r="O21" s="92"/>
      <c r="P21" s="92"/>
      <c r="Q21" s="99"/>
      <c r="R21" s="100"/>
      <c r="S21" s="92"/>
      <c r="T21" s="92"/>
      <c r="U21" s="92"/>
      <c r="V21" s="94" t="str">
        <f t="shared" si="0"/>
        <v/>
      </c>
      <c r="W21" s="94">
        <f t="shared" si="1"/>
        <v>0</v>
      </c>
      <c r="X21" s="94" t="str">
        <f t="shared" si="3"/>
        <v/>
      </c>
      <c r="Y21" s="94">
        <f t="shared" si="2"/>
        <v>0</v>
      </c>
    </row>
    <row r="22" spans="2:25" x14ac:dyDescent="0.6">
      <c r="B22" s="92"/>
      <c r="C22" s="92"/>
      <c r="D22" s="99"/>
      <c r="E22" s="100"/>
      <c r="F22" s="92"/>
      <c r="G22" s="92"/>
      <c r="H22" s="92"/>
      <c r="I22" s="92"/>
      <c r="J22" s="100"/>
      <c r="L22" s="102"/>
      <c r="M22" s="103"/>
      <c r="O22" s="92"/>
      <c r="P22" s="92"/>
      <c r="Q22" s="99"/>
      <c r="R22" s="100"/>
      <c r="S22" s="92"/>
      <c r="T22" s="92"/>
      <c r="U22" s="92"/>
      <c r="V22" s="94" t="str">
        <f t="shared" si="0"/>
        <v/>
      </c>
      <c r="W22" s="94">
        <f t="shared" si="1"/>
        <v>0</v>
      </c>
      <c r="X22" s="94" t="str">
        <f t="shared" si="3"/>
        <v/>
      </c>
      <c r="Y22" s="94">
        <f t="shared" si="2"/>
        <v>0</v>
      </c>
    </row>
    <row r="23" spans="2:25" x14ac:dyDescent="0.6">
      <c r="B23" s="92"/>
      <c r="C23" s="92"/>
      <c r="D23" s="99"/>
      <c r="E23" s="100"/>
      <c r="F23" s="92"/>
      <c r="G23" s="92"/>
      <c r="H23" s="92"/>
      <c r="I23" s="92"/>
      <c r="J23" s="100"/>
      <c r="L23" s="102"/>
      <c r="M23" s="103"/>
      <c r="O23" s="92"/>
      <c r="P23" s="92"/>
      <c r="Q23" s="99"/>
      <c r="R23" s="100"/>
      <c r="S23" s="92"/>
      <c r="T23" s="92"/>
      <c r="U23" s="92"/>
      <c r="V23" s="94" t="str">
        <f t="shared" si="0"/>
        <v/>
      </c>
      <c r="W23" s="94">
        <f t="shared" si="1"/>
        <v>0</v>
      </c>
      <c r="X23" s="94" t="str">
        <f t="shared" si="3"/>
        <v/>
      </c>
      <c r="Y23" s="94">
        <f t="shared" si="2"/>
        <v>0</v>
      </c>
    </row>
    <row r="24" spans="2:25" x14ac:dyDescent="0.6">
      <c r="B24" s="92"/>
      <c r="C24" s="92"/>
      <c r="D24" s="99"/>
      <c r="E24" s="100"/>
      <c r="F24" s="92"/>
      <c r="G24" s="92"/>
      <c r="H24" s="92"/>
      <c r="I24" s="92"/>
      <c r="J24" s="100"/>
      <c r="L24" s="102"/>
      <c r="M24" s="103"/>
      <c r="O24" s="92"/>
      <c r="P24" s="92"/>
      <c r="Q24" s="99"/>
      <c r="R24" s="100"/>
      <c r="S24" s="92"/>
      <c r="T24" s="92"/>
      <c r="U24" s="92"/>
      <c r="V24" s="94" t="str">
        <f t="shared" si="0"/>
        <v/>
      </c>
      <c r="W24" s="94">
        <f t="shared" si="1"/>
        <v>0</v>
      </c>
      <c r="X24" s="94" t="str">
        <f t="shared" si="3"/>
        <v/>
      </c>
      <c r="Y24" s="94">
        <f t="shared" si="2"/>
        <v>0</v>
      </c>
    </row>
    <row r="25" spans="2:25" x14ac:dyDescent="0.6">
      <c r="B25" s="92"/>
      <c r="C25" s="92"/>
      <c r="D25" s="99"/>
      <c r="E25" s="100"/>
      <c r="F25" s="92"/>
      <c r="G25" s="92"/>
      <c r="H25" s="92"/>
      <c r="I25" s="92"/>
      <c r="J25" s="100"/>
      <c r="L25" s="102"/>
      <c r="M25" s="103"/>
      <c r="O25" s="92"/>
      <c r="P25" s="92"/>
      <c r="Q25" s="99"/>
      <c r="R25" s="100"/>
      <c r="S25" s="92"/>
      <c r="T25" s="92"/>
      <c r="U25" s="92"/>
      <c r="V25" s="94" t="str">
        <f t="shared" si="0"/>
        <v/>
      </c>
      <c r="W25" s="94">
        <f t="shared" si="1"/>
        <v>0</v>
      </c>
      <c r="X25" s="94" t="str">
        <f t="shared" si="3"/>
        <v/>
      </c>
      <c r="Y25" s="94">
        <f t="shared" si="2"/>
        <v>0</v>
      </c>
    </row>
    <row r="26" spans="2:25" x14ac:dyDescent="0.6">
      <c r="B26" s="92"/>
      <c r="C26" s="92"/>
      <c r="D26" s="99"/>
      <c r="E26" s="100"/>
      <c r="F26" s="92"/>
      <c r="G26" s="92"/>
      <c r="H26" s="92"/>
      <c r="I26" s="92"/>
      <c r="J26" s="100"/>
      <c r="L26" s="102"/>
      <c r="M26" s="103"/>
      <c r="O26" s="92"/>
      <c r="P26" s="92"/>
      <c r="Q26" s="99"/>
      <c r="R26" s="100"/>
      <c r="S26" s="92"/>
      <c r="T26" s="92"/>
      <c r="U26" s="92"/>
      <c r="V26" s="94" t="str">
        <f t="shared" si="0"/>
        <v/>
      </c>
      <c r="W26" s="94">
        <f t="shared" si="1"/>
        <v>0</v>
      </c>
      <c r="X26" s="94" t="str">
        <f t="shared" si="3"/>
        <v/>
      </c>
      <c r="Y26" s="94">
        <f t="shared" si="2"/>
        <v>0</v>
      </c>
    </row>
    <row r="27" spans="2:25" x14ac:dyDescent="0.6">
      <c r="B27" s="92"/>
      <c r="C27" s="92"/>
      <c r="D27" s="99"/>
      <c r="E27" s="100"/>
      <c r="F27" s="92"/>
      <c r="G27" s="92"/>
      <c r="H27" s="92"/>
      <c r="I27" s="92"/>
      <c r="J27" s="100"/>
      <c r="L27" s="102"/>
      <c r="M27" s="103"/>
      <c r="O27" s="92"/>
      <c r="P27" s="92"/>
      <c r="Q27" s="99"/>
      <c r="R27" s="100"/>
      <c r="S27" s="92"/>
      <c r="T27" s="92"/>
      <c r="U27" s="92"/>
      <c r="V27" s="94" t="str">
        <f t="shared" si="0"/>
        <v/>
      </c>
      <c r="W27" s="94">
        <f t="shared" si="1"/>
        <v>0</v>
      </c>
      <c r="X27" s="94" t="str">
        <f t="shared" si="3"/>
        <v/>
      </c>
      <c r="Y27" s="94">
        <f t="shared" si="2"/>
        <v>0</v>
      </c>
    </row>
    <row r="28" spans="2:25" x14ac:dyDescent="0.6">
      <c r="B28" s="92"/>
      <c r="C28" s="92"/>
      <c r="D28" s="99"/>
      <c r="E28" s="100"/>
      <c r="F28" s="92"/>
      <c r="G28" s="92"/>
      <c r="H28" s="92"/>
      <c r="I28" s="92"/>
      <c r="J28" s="100"/>
      <c r="L28" s="102"/>
      <c r="M28" s="103"/>
      <c r="O28" s="92"/>
      <c r="P28" s="92"/>
      <c r="Q28" s="99"/>
      <c r="R28" s="100"/>
      <c r="S28" s="92"/>
      <c r="T28" s="92"/>
      <c r="U28" s="92"/>
      <c r="V28" s="94" t="str">
        <f t="shared" si="0"/>
        <v/>
      </c>
      <c r="W28" s="94">
        <f t="shared" si="1"/>
        <v>0</v>
      </c>
      <c r="X28" s="94" t="str">
        <f t="shared" si="3"/>
        <v/>
      </c>
      <c r="Y28" s="94">
        <f t="shared" si="2"/>
        <v>0</v>
      </c>
    </row>
    <row r="29" spans="2:25" x14ac:dyDescent="0.6">
      <c r="B29" s="92"/>
      <c r="C29" s="92"/>
      <c r="D29" s="99"/>
      <c r="E29" s="100"/>
      <c r="F29" s="92"/>
      <c r="G29" s="92"/>
      <c r="H29" s="92"/>
      <c r="I29" s="92"/>
      <c r="J29" s="100"/>
      <c r="L29" s="102"/>
      <c r="M29" s="103"/>
      <c r="O29" s="92"/>
      <c r="P29" s="92"/>
      <c r="Q29" s="99"/>
      <c r="R29" s="100"/>
      <c r="S29" s="92"/>
      <c r="T29" s="92"/>
      <c r="U29" s="92"/>
      <c r="V29" s="94" t="str">
        <f t="shared" si="0"/>
        <v/>
      </c>
      <c r="W29" s="94">
        <f t="shared" si="1"/>
        <v>0</v>
      </c>
      <c r="X29" s="94" t="str">
        <f t="shared" si="3"/>
        <v/>
      </c>
      <c r="Y29" s="94">
        <f t="shared" si="2"/>
        <v>0</v>
      </c>
    </row>
    <row r="30" spans="2:25" x14ac:dyDescent="0.6">
      <c r="B30" s="92"/>
      <c r="C30" s="92"/>
      <c r="D30" s="99"/>
      <c r="E30" s="100"/>
      <c r="F30" s="92"/>
      <c r="G30" s="92"/>
      <c r="H30" s="92"/>
      <c r="I30" s="92"/>
      <c r="J30" s="100"/>
      <c r="L30" s="102"/>
      <c r="M30" s="103"/>
      <c r="O30" s="92"/>
      <c r="P30" s="92"/>
      <c r="Q30" s="99"/>
      <c r="R30" s="100"/>
      <c r="S30" s="92"/>
      <c r="T30" s="92"/>
      <c r="U30" s="92"/>
      <c r="V30" s="94" t="str">
        <f t="shared" si="0"/>
        <v/>
      </c>
      <c r="W30" s="94">
        <f t="shared" si="1"/>
        <v>0</v>
      </c>
      <c r="X30" s="94" t="str">
        <f t="shared" si="3"/>
        <v/>
      </c>
      <c r="Y30" s="94">
        <f t="shared" si="2"/>
        <v>0</v>
      </c>
    </row>
    <row r="31" spans="2:25" x14ac:dyDescent="0.6">
      <c r="B31" s="92"/>
      <c r="C31" s="92"/>
      <c r="D31" s="99"/>
      <c r="E31" s="100"/>
      <c r="F31" s="92"/>
      <c r="G31" s="92"/>
      <c r="H31" s="92"/>
      <c r="I31" s="92"/>
      <c r="J31" s="100"/>
      <c r="L31" s="102"/>
      <c r="M31" s="103"/>
      <c r="O31" s="92"/>
      <c r="P31" s="92"/>
      <c r="Q31" s="99"/>
      <c r="R31" s="100"/>
      <c r="S31" s="92"/>
      <c r="T31" s="92"/>
      <c r="U31" s="92"/>
      <c r="V31" s="94" t="str">
        <f t="shared" si="0"/>
        <v/>
      </c>
      <c r="W31" s="94">
        <f t="shared" si="1"/>
        <v>0</v>
      </c>
      <c r="X31" s="94" t="str">
        <f t="shared" si="3"/>
        <v/>
      </c>
      <c r="Y31" s="94">
        <f t="shared" si="2"/>
        <v>0</v>
      </c>
    </row>
    <row r="32" spans="2:25" x14ac:dyDescent="0.6">
      <c r="B32" s="92"/>
      <c r="C32" s="92"/>
      <c r="D32" s="99"/>
      <c r="E32" s="100"/>
      <c r="F32" s="92"/>
      <c r="G32" s="92"/>
      <c r="H32" s="92"/>
      <c r="I32" s="92"/>
      <c r="J32" s="100"/>
      <c r="L32" s="102"/>
      <c r="M32" s="103"/>
      <c r="O32" s="92"/>
      <c r="P32" s="92"/>
      <c r="Q32" s="99"/>
      <c r="R32" s="100"/>
      <c r="S32" s="92"/>
      <c r="T32" s="92"/>
      <c r="U32" s="92"/>
      <c r="V32" s="94" t="str">
        <f t="shared" si="0"/>
        <v/>
      </c>
      <c r="W32" s="94">
        <f t="shared" si="1"/>
        <v>0</v>
      </c>
      <c r="X32" s="94" t="str">
        <f t="shared" si="3"/>
        <v/>
      </c>
      <c r="Y32" s="94">
        <f t="shared" si="2"/>
        <v>0</v>
      </c>
    </row>
    <row r="33" spans="15:25" x14ac:dyDescent="0.6">
      <c r="O33" s="92"/>
      <c r="P33" s="92"/>
      <c r="Q33" s="99"/>
      <c r="R33" s="100"/>
      <c r="S33" s="92"/>
      <c r="T33" s="92"/>
      <c r="U33" s="92"/>
      <c r="V33" s="94" t="str">
        <f t="shared" si="0"/>
        <v/>
      </c>
      <c r="W33" s="94">
        <f t="shared" si="1"/>
        <v>0</v>
      </c>
      <c r="X33" s="94" t="str">
        <f t="shared" si="3"/>
        <v/>
      </c>
      <c r="Y33" s="94">
        <f t="shared" si="2"/>
        <v>0</v>
      </c>
    </row>
    <row r="34" spans="15:25" x14ac:dyDescent="0.6">
      <c r="O34" s="92"/>
      <c r="P34" s="92"/>
      <c r="Q34" s="99"/>
      <c r="R34" s="100"/>
      <c r="S34" s="92"/>
      <c r="T34" s="92"/>
      <c r="U34" s="92"/>
      <c r="V34" s="94" t="str">
        <f t="shared" si="0"/>
        <v/>
      </c>
      <c r="W34" s="94">
        <f t="shared" si="1"/>
        <v>0</v>
      </c>
      <c r="X34" s="94" t="str">
        <f t="shared" si="3"/>
        <v/>
      </c>
      <c r="Y34" s="94">
        <f t="shared" si="2"/>
        <v>0</v>
      </c>
    </row>
    <row r="35" spans="15:25" x14ac:dyDescent="0.6">
      <c r="O35" s="92"/>
      <c r="P35" s="92"/>
      <c r="Q35" s="99"/>
      <c r="R35" s="100"/>
      <c r="S35" s="92"/>
      <c r="T35" s="92"/>
      <c r="U35" s="92"/>
      <c r="V35" s="94" t="str">
        <f t="shared" si="0"/>
        <v/>
      </c>
      <c r="W35" s="94">
        <f t="shared" si="1"/>
        <v>0</v>
      </c>
      <c r="X35" s="94" t="str">
        <f t="shared" si="3"/>
        <v/>
      </c>
      <c r="Y35" s="94">
        <f t="shared" si="2"/>
        <v>0</v>
      </c>
    </row>
    <row r="36" spans="15:25" x14ac:dyDescent="0.6">
      <c r="O36" s="92"/>
      <c r="P36" s="92"/>
      <c r="Q36" s="99"/>
      <c r="R36" s="100"/>
      <c r="S36" s="92"/>
      <c r="T36" s="92"/>
      <c r="U36" s="92"/>
      <c r="V36" s="94" t="str">
        <f t="shared" si="0"/>
        <v/>
      </c>
      <c r="W36" s="94">
        <f t="shared" si="1"/>
        <v>0</v>
      </c>
      <c r="X36" s="94" t="str">
        <f t="shared" si="3"/>
        <v/>
      </c>
      <c r="Y36" s="94">
        <f t="shared" si="2"/>
        <v>0</v>
      </c>
    </row>
    <row r="37" spans="15:25" x14ac:dyDescent="0.6">
      <c r="O37" s="92"/>
      <c r="P37" s="92"/>
      <c r="Q37" s="99"/>
      <c r="R37" s="100"/>
      <c r="S37" s="92"/>
      <c r="T37" s="92"/>
      <c r="U37" s="92"/>
      <c r="V37" s="94" t="str">
        <f t="shared" si="0"/>
        <v/>
      </c>
      <c r="W37" s="94">
        <f t="shared" si="1"/>
        <v>0</v>
      </c>
      <c r="X37" s="94" t="str">
        <f t="shared" si="3"/>
        <v/>
      </c>
      <c r="Y37" s="94">
        <f t="shared" si="2"/>
        <v>0</v>
      </c>
    </row>
    <row r="38" spans="15:25" x14ac:dyDescent="0.6">
      <c r="O38" s="92"/>
      <c r="P38" s="92"/>
      <c r="Q38" s="99"/>
      <c r="R38" s="100"/>
      <c r="S38" s="92"/>
      <c r="T38" s="92"/>
      <c r="U38" s="92"/>
      <c r="V38" s="94" t="str">
        <f t="shared" si="0"/>
        <v/>
      </c>
      <c r="W38" s="94">
        <f t="shared" si="1"/>
        <v>0</v>
      </c>
      <c r="X38" s="94" t="str">
        <f t="shared" si="3"/>
        <v/>
      </c>
      <c r="Y38" s="94">
        <f t="shared" si="2"/>
        <v>0</v>
      </c>
    </row>
    <row r="39" spans="15:25" x14ac:dyDescent="0.6">
      <c r="O39" s="92"/>
      <c r="P39" s="92"/>
      <c r="Q39" s="99"/>
      <c r="R39" s="100"/>
      <c r="S39" s="92"/>
      <c r="T39" s="92"/>
      <c r="U39" s="92"/>
      <c r="V39" s="94" t="str">
        <f t="shared" si="0"/>
        <v/>
      </c>
      <c r="W39" s="94">
        <f t="shared" si="1"/>
        <v>0</v>
      </c>
      <c r="X39" s="94" t="str">
        <f t="shared" si="3"/>
        <v/>
      </c>
      <c r="Y39" s="94">
        <f t="shared" si="2"/>
        <v>0</v>
      </c>
    </row>
    <row r="40" spans="15:25" x14ac:dyDescent="0.6">
      <c r="O40" s="92"/>
      <c r="P40" s="92"/>
      <c r="Q40" s="99"/>
      <c r="R40" s="100"/>
      <c r="S40" s="92"/>
      <c r="T40" s="92"/>
      <c r="U40" s="92"/>
      <c r="V40" s="94" t="str">
        <f t="shared" si="0"/>
        <v/>
      </c>
      <c r="W40" s="94">
        <f t="shared" si="1"/>
        <v>0</v>
      </c>
      <c r="X40" s="94" t="str">
        <f t="shared" si="3"/>
        <v/>
      </c>
      <c r="Y40" s="94">
        <f t="shared" si="2"/>
        <v>0</v>
      </c>
    </row>
    <row r="41" spans="15:25" x14ac:dyDescent="0.6">
      <c r="O41" s="92"/>
      <c r="P41" s="92"/>
      <c r="Q41" s="99"/>
      <c r="R41" s="100"/>
      <c r="S41" s="92"/>
      <c r="T41" s="92"/>
      <c r="U41" s="92"/>
      <c r="V41" s="94" t="str">
        <f t="shared" si="0"/>
        <v/>
      </c>
      <c r="W41" s="94">
        <f t="shared" si="1"/>
        <v>0</v>
      </c>
      <c r="X41" s="94" t="str">
        <f t="shared" si="3"/>
        <v/>
      </c>
      <c r="Y41" s="94">
        <f t="shared" si="2"/>
        <v>0</v>
      </c>
    </row>
    <row r="42" spans="15:25" x14ac:dyDescent="0.6">
      <c r="O42" s="92"/>
      <c r="P42" s="92"/>
      <c r="Q42" s="99"/>
      <c r="R42" s="100"/>
      <c r="S42" s="92"/>
      <c r="T42" s="92"/>
      <c r="U42" s="92"/>
      <c r="V42" s="94" t="str">
        <f t="shared" si="0"/>
        <v/>
      </c>
      <c r="W42" s="94">
        <f t="shared" si="1"/>
        <v>0</v>
      </c>
      <c r="X42" s="94" t="str">
        <f t="shared" si="3"/>
        <v/>
      </c>
      <c r="Y42" s="94">
        <f t="shared" si="2"/>
        <v>0</v>
      </c>
    </row>
    <row r="43" spans="15:25" x14ac:dyDescent="0.6">
      <c r="O43" s="92"/>
      <c r="P43" s="92"/>
      <c r="Q43" s="99"/>
      <c r="R43" s="100"/>
      <c r="S43" s="92"/>
      <c r="T43" s="92"/>
      <c r="U43" s="92"/>
      <c r="V43" s="94" t="str">
        <f t="shared" si="0"/>
        <v/>
      </c>
      <c r="W43" s="94">
        <f t="shared" si="1"/>
        <v>0</v>
      </c>
      <c r="X43" s="94" t="str">
        <f t="shared" si="3"/>
        <v/>
      </c>
      <c r="Y43" s="94">
        <f t="shared" si="2"/>
        <v>0</v>
      </c>
    </row>
    <row r="44" spans="15:25" x14ac:dyDescent="0.6">
      <c r="O44" s="92"/>
      <c r="P44" s="92"/>
      <c r="Q44" s="99"/>
      <c r="R44" s="100"/>
      <c r="S44" s="92"/>
      <c r="T44" s="92"/>
      <c r="U44" s="92"/>
      <c r="V44" s="94" t="str">
        <f t="shared" si="0"/>
        <v/>
      </c>
      <c r="W44" s="94">
        <f t="shared" si="1"/>
        <v>0</v>
      </c>
      <c r="X44" s="94" t="str">
        <f t="shared" si="3"/>
        <v/>
      </c>
      <c r="Y44" s="94">
        <f t="shared" si="2"/>
        <v>0</v>
      </c>
    </row>
    <row r="45" spans="15:25" x14ac:dyDescent="0.6">
      <c r="O45" s="92"/>
      <c r="P45" s="92"/>
      <c r="Q45" s="99"/>
      <c r="R45" s="100"/>
      <c r="S45" s="92"/>
      <c r="T45" s="92"/>
      <c r="U45" s="92"/>
      <c r="V45" s="94" t="str">
        <f t="shared" si="0"/>
        <v/>
      </c>
      <c r="W45" s="94">
        <f t="shared" si="1"/>
        <v>0</v>
      </c>
      <c r="X45" s="94" t="str">
        <f t="shared" si="3"/>
        <v/>
      </c>
      <c r="Y45" s="94">
        <f t="shared" si="2"/>
        <v>0</v>
      </c>
    </row>
    <row r="46" spans="15:25" x14ac:dyDescent="0.6">
      <c r="O46" s="92"/>
      <c r="P46" s="92"/>
      <c r="Q46" s="99"/>
      <c r="R46" s="100"/>
      <c r="S46" s="92"/>
      <c r="T46" s="92"/>
      <c r="U46" s="92"/>
      <c r="V46" s="94" t="str">
        <f t="shared" si="0"/>
        <v/>
      </c>
      <c r="W46" s="94">
        <f t="shared" si="1"/>
        <v>0</v>
      </c>
      <c r="X46" s="94" t="str">
        <f t="shared" si="3"/>
        <v/>
      </c>
      <c r="Y46" s="94">
        <f t="shared" si="2"/>
        <v>0</v>
      </c>
    </row>
    <row r="47" spans="15:25" x14ac:dyDescent="0.6">
      <c r="O47" s="92"/>
      <c r="P47" s="92"/>
      <c r="Q47" s="99"/>
      <c r="R47" s="100"/>
      <c r="S47" s="92"/>
      <c r="T47" s="92"/>
      <c r="U47" s="92"/>
      <c r="V47" s="94" t="str">
        <f t="shared" si="0"/>
        <v/>
      </c>
      <c r="W47" s="94">
        <f t="shared" si="1"/>
        <v>0</v>
      </c>
      <c r="X47" s="94" t="str">
        <f t="shared" si="3"/>
        <v/>
      </c>
      <c r="Y47" s="94">
        <f t="shared" si="2"/>
        <v>0</v>
      </c>
    </row>
    <row r="48" spans="15:25" x14ac:dyDescent="0.6">
      <c r="O48" s="92"/>
      <c r="P48" s="92"/>
      <c r="Q48" s="99"/>
      <c r="R48" s="100"/>
      <c r="S48" s="92"/>
      <c r="T48" s="92"/>
      <c r="U48" s="92"/>
      <c r="V48" s="94" t="str">
        <f t="shared" si="0"/>
        <v/>
      </c>
      <c r="W48" s="94">
        <f t="shared" si="1"/>
        <v>0</v>
      </c>
      <c r="X48" s="94" t="str">
        <f t="shared" si="3"/>
        <v/>
      </c>
      <c r="Y48" s="94">
        <f t="shared" si="2"/>
        <v>0</v>
      </c>
    </row>
    <row r="49" spans="15:25" x14ac:dyDescent="0.6">
      <c r="O49" s="92"/>
      <c r="P49" s="92"/>
      <c r="Q49" s="99"/>
      <c r="R49" s="100"/>
      <c r="S49" s="92"/>
      <c r="T49" s="92"/>
      <c r="U49" s="92"/>
      <c r="V49" s="94" t="str">
        <f t="shared" si="0"/>
        <v/>
      </c>
      <c r="W49" s="94">
        <f t="shared" si="1"/>
        <v>0</v>
      </c>
      <c r="X49" s="94" t="str">
        <f t="shared" si="3"/>
        <v/>
      </c>
      <c r="Y49" s="94">
        <f t="shared" si="2"/>
        <v>0</v>
      </c>
    </row>
    <row r="50" spans="15:25" x14ac:dyDescent="0.6">
      <c r="O50" s="92"/>
      <c r="P50" s="92"/>
      <c r="Q50" s="99"/>
      <c r="R50" s="100"/>
      <c r="S50" s="92"/>
      <c r="T50" s="92"/>
      <c r="U50" s="92"/>
      <c r="V50" s="94" t="str">
        <f t="shared" si="0"/>
        <v/>
      </c>
      <c r="W50" s="94">
        <f t="shared" si="1"/>
        <v>0</v>
      </c>
      <c r="X50" s="94" t="str">
        <f t="shared" si="3"/>
        <v/>
      </c>
      <c r="Y50" s="94">
        <f t="shared" si="2"/>
        <v>0</v>
      </c>
    </row>
    <row r="51" spans="15:25" x14ac:dyDescent="0.6">
      <c r="O51" s="92"/>
      <c r="P51" s="92"/>
      <c r="Q51" s="99"/>
      <c r="R51" s="100"/>
      <c r="S51" s="92"/>
      <c r="T51" s="92"/>
      <c r="U51" s="92"/>
      <c r="V51" s="94" t="str">
        <f t="shared" si="0"/>
        <v/>
      </c>
      <c r="W51" s="94">
        <f t="shared" si="1"/>
        <v>0</v>
      </c>
      <c r="X51" s="94" t="str">
        <f t="shared" si="3"/>
        <v/>
      </c>
      <c r="Y51" s="94">
        <f t="shared" si="2"/>
        <v>0</v>
      </c>
    </row>
    <row r="52" spans="15:25" x14ac:dyDescent="0.6">
      <c r="O52" s="92"/>
      <c r="P52" s="92"/>
      <c r="Q52" s="99"/>
      <c r="R52" s="100"/>
      <c r="S52" s="92"/>
      <c r="T52" s="92"/>
      <c r="U52" s="92"/>
      <c r="V52" s="94" t="str">
        <f t="shared" si="0"/>
        <v/>
      </c>
      <c r="W52" s="94">
        <f t="shared" si="1"/>
        <v>0</v>
      </c>
      <c r="X52" s="94" t="str">
        <f t="shared" si="3"/>
        <v/>
      </c>
      <c r="Y52" s="94">
        <f t="shared" si="2"/>
        <v>0</v>
      </c>
    </row>
    <row r="53" spans="15:25" x14ac:dyDescent="0.6">
      <c r="O53" s="92"/>
      <c r="P53" s="92"/>
      <c r="Q53" s="99"/>
      <c r="R53" s="100"/>
      <c r="S53" s="92"/>
      <c r="T53" s="92"/>
      <c r="U53" s="92"/>
      <c r="V53" s="94" t="str">
        <f t="shared" si="0"/>
        <v/>
      </c>
      <c r="W53" s="94">
        <f t="shared" si="1"/>
        <v>0</v>
      </c>
      <c r="X53" s="94" t="str">
        <f t="shared" si="3"/>
        <v/>
      </c>
      <c r="Y53" s="94">
        <f t="shared" si="2"/>
        <v>0</v>
      </c>
    </row>
    <row r="54" spans="15:25" x14ac:dyDescent="0.6">
      <c r="O54" s="92"/>
      <c r="P54" s="92"/>
      <c r="Q54" s="99"/>
      <c r="R54" s="100"/>
      <c r="S54" s="92"/>
      <c r="T54" s="92"/>
      <c r="U54" s="92"/>
      <c r="V54" s="94" t="str">
        <f t="shared" si="0"/>
        <v/>
      </c>
      <c r="W54" s="94">
        <f t="shared" si="1"/>
        <v>0</v>
      </c>
      <c r="X54" s="94" t="str">
        <f t="shared" si="3"/>
        <v/>
      </c>
      <c r="Y54" s="94">
        <f t="shared" si="2"/>
        <v>0</v>
      </c>
    </row>
    <row r="55" spans="15:25" x14ac:dyDescent="0.6">
      <c r="O55" s="92"/>
      <c r="P55" s="92"/>
      <c r="Q55" s="99"/>
      <c r="R55" s="100"/>
      <c r="S55" s="92"/>
      <c r="T55" s="92"/>
      <c r="U55" s="92"/>
      <c r="V55" s="94" t="str">
        <f t="shared" si="0"/>
        <v/>
      </c>
      <c r="W55" s="94">
        <f t="shared" si="1"/>
        <v>0</v>
      </c>
      <c r="X55" s="94" t="str">
        <f t="shared" si="3"/>
        <v/>
      </c>
      <c r="Y55" s="94">
        <f t="shared" si="2"/>
        <v>0</v>
      </c>
    </row>
    <row r="56" spans="15:25" x14ac:dyDescent="0.6">
      <c r="O56" s="92"/>
      <c r="P56" s="92"/>
      <c r="Q56" s="99"/>
      <c r="R56" s="100"/>
      <c r="S56" s="92"/>
      <c r="T56" s="92"/>
      <c r="U56" s="92"/>
      <c r="V56" s="94" t="str">
        <f t="shared" si="0"/>
        <v/>
      </c>
      <c r="W56" s="94">
        <f t="shared" si="1"/>
        <v>0</v>
      </c>
      <c r="X56" s="94" t="str">
        <f t="shared" si="3"/>
        <v/>
      </c>
      <c r="Y56" s="94">
        <f t="shared" si="2"/>
        <v>0</v>
      </c>
    </row>
    <row r="57" spans="15:25" x14ac:dyDescent="0.6">
      <c r="O57" s="92"/>
      <c r="P57" s="92"/>
      <c r="Q57" s="99"/>
      <c r="R57" s="100"/>
      <c r="S57" s="92"/>
      <c r="T57" s="92"/>
      <c r="U57" s="92"/>
      <c r="V57" s="94" t="str">
        <f t="shared" si="0"/>
        <v/>
      </c>
      <c r="W57" s="94">
        <f t="shared" si="1"/>
        <v>0</v>
      </c>
      <c r="X57" s="94" t="str">
        <f t="shared" si="3"/>
        <v/>
      </c>
      <c r="Y57" s="94">
        <f t="shared" si="2"/>
        <v>0</v>
      </c>
    </row>
    <row r="58" spans="15:25" x14ac:dyDescent="0.6">
      <c r="O58" s="92"/>
      <c r="P58" s="92"/>
      <c r="Q58" s="99"/>
      <c r="R58" s="100"/>
      <c r="S58" s="92"/>
      <c r="T58" s="92"/>
      <c r="U58" s="92"/>
      <c r="V58" s="94" t="str">
        <f t="shared" si="0"/>
        <v/>
      </c>
      <c r="W58" s="94">
        <f t="shared" si="1"/>
        <v>0</v>
      </c>
      <c r="X58" s="94" t="str">
        <f t="shared" si="3"/>
        <v/>
      </c>
      <c r="Y58" s="94">
        <f t="shared" si="2"/>
        <v>0</v>
      </c>
    </row>
    <row r="59" spans="15:25" x14ac:dyDescent="0.6">
      <c r="O59" s="92"/>
      <c r="P59" s="92"/>
      <c r="Q59" s="99"/>
      <c r="R59" s="100"/>
      <c r="S59" s="92"/>
      <c r="T59" s="92"/>
      <c r="U59" s="92"/>
      <c r="V59" s="94" t="str">
        <f t="shared" si="0"/>
        <v/>
      </c>
      <c r="W59" s="94">
        <f t="shared" si="1"/>
        <v>0</v>
      </c>
      <c r="X59" s="94" t="str">
        <f t="shared" si="3"/>
        <v/>
      </c>
      <c r="Y59" s="94">
        <f t="shared" si="2"/>
        <v>0</v>
      </c>
    </row>
    <row r="60" spans="15:25" x14ac:dyDescent="0.6">
      <c r="O60" s="92"/>
      <c r="P60" s="92"/>
      <c r="Q60" s="99"/>
      <c r="R60" s="100"/>
      <c r="S60" s="92"/>
      <c r="T60" s="92"/>
      <c r="U60" s="92"/>
      <c r="V60" s="94" t="str">
        <f t="shared" si="0"/>
        <v/>
      </c>
      <c r="W60" s="94">
        <f t="shared" si="1"/>
        <v>0</v>
      </c>
      <c r="X60" s="94" t="str">
        <f t="shared" si="3"/>
        <v/>
      </c>
      <c r="Y60" s="94">
        <f t="shared" si="2"/>
        <v>0</v>
      </c>
    </row>
    <row r="61" spans="15:25" x14ac:dyDescent="0.6">
      <c r="O61" s="92"/>
      <c r="P61" s="92"/>
      <c r="Q61" s="99"/>
      <c r="R61" s="100"/>
      <c r="S61" s="92"/>
      <c r="T61" s="92"/>
      <c r="U61" s="92"/>
      <c r="V61" s="94" t="str">
        <f t="shared" si="0"/>
        <v/>
      </c>
      <c r="W61" s="94">
        <f t="shared" si="1"/>
        <v>0</v>
      </c>
      <c r="X61" s="94" t="str">
        <f t="shared" si="3"/>
        <v/>
      </c>
      <c r="Y61" s="94">
        <f t="shared" si="2"/>
        <v>0</v>
      </c>
    </row>
    <row r="62" spans="15:25" x14ac:dyDescent="0.6">
      <c r="O62" s="92"/>
      <c r="P62" s="92"/>
      <c r="Q62" s="99"/>
      <c r="R62" s="100"/>
      <c r="S62" s="92"/>
      <c r="T62" s="92"/>
      <c r="U62" s="92"/>
      <c r="V62" s="94" t="str">
        <f t="shared" si="0"/>
        <v/>
      </c>
      <c r="W62" s="94">
        <f t="shared" si="1"/>
        <v>0</v>
      </c>
      <c r="X62" s="94" t="str">
        <f t="shared" si="3"/>
        <v/>
      </c>
      <c r="Y62" s="94">
        <f t="shared" si="2"/>
        <v>0</v>
      </c>
    </row>
    <row r="63" spans="15:25" x14ac:dyDescent="0.6">
      <c r="O63" s="92"/>
      <c r="P63" s="92"/>
      <c r="Q63" s="99"/>
      <c r="R63" s="100"/>
      <c r="S63" s="92"/>
      <c r="T63" s="92"/>
      <c r="U63" s="92"/>
      <c r="V63" s="94" t="str">
        <f t="shared" si="0"/>
        <v/>
      </c>
      <c r="W63" s="94">
        <f t="shared" si="1"/>
        <v>0</v>
      </c>
      <c r="X63" s="94" t="str">
        <f t="shared" si="3"/>
        <v/>
      </c>
      <c r="Y63" s="94">
        <f t="shared" si="2"/>
        <v>0</v>
      </c>
    </row>
    <row r="64" spans="15:25" x14ac:dyDescent="0.6">
      <c r="O64" s="92"/>
      <c r="P64" s="92"/>
      <c r="Q64" s="99"/>
      <c r="R64" s="100"/>
      <c r="S64" s="92"/>
      <c r="T64" s="92"/>
      <c r="U64" s="92"/>
      <c r="V64" s="94" t="str">
        <f t="shared" si="0"/>
        <v/>
      </c>
      <c r="W64" s="94">
        <f t="shared" si="1"/>
        <v>0</v>
      </c>
      <c r="X64" s="94" t="str">
        <f t="shared" si="3"/>
        <v/>
      </c>
      <c r="Y64" s="94">
        <f t="shared" si="2"/>
        <v>0</v>
      </c>
    </row>
    <row r="65" spans="15:25" x14ac:dyDescent="0.6">
      <c r="O65" s="92"/>
      <c r="P65" s="92"/>
      <c r="Q65" s="99"/>
      <c r="R65" s="100"/>
      <c r="S65" s="92"/>
      <c r="T65" s="92"/>
      <c r="U65" s="92"/>
      <c r="V65" s="94" t="str">
        <f t="shared" si="0"/>
        <v/>
      </c>
      <c r="W65" s="94">
        <f t="shared" si="1"/>
        <v>0</v>
      </c>
      <c r="X65" s="94" t="str">
        <f t="shared" si="3"/>
        <v/>
      </c>
      <c r="Y65" s="94">
        <f t="shared" si="2"/>
        <v>0</v>
      </c>
    </row>
    <row r="66" spans="15:25" x14ac:dyDescent="0.6">
      <c r="O66" s="92"/>
      <c r="P66" s="92"/>
      <c r="Q66" s="99"/>
      <c r="R66" s="100"/>
      <c r="S66" s="92"/>
      <c r="T66" s="92"/>
      <c r="U66" s="92"/>
      <c r="V66" s="94" t="str">
        <f t="shared" si="0"/>
        <v/>
      </c>
      <c r="W66" s="94">
        <f t="shared" si="1"/>
        <v>0</v>
      </c>
      <c r="X66" s="94" t="str">
        <f t="shared" si="3"/>
        <v/>
      </c>
      <c r="Y66" s="94">
        <f t="shared" si="2"/>
        <v>0</v>
      </c>
    </row>
    <row r="67" spans="15:25" x14ac:dyDescent="0.6">
      <c r="O67" s="92"/>
      <c r="P67" s="92"/>
      <c r="Q67" s="99"/>
      <c r="R67" s="100"/>
      <c r="S67" s="92"/>
      <c r="T67" s="92"/>
      <c r="U67" s="92"/>
      <c r="V67" s="94" t="str">
        <f t="shared" si="0"/>
        <v/>
      </c>
      <c r="W67" s="94">
        <f t="shared" si="1"/>
        <v>0</v>
      </c>
      <c r="X67" s="94" t="str">
        <f t="shared" si="3"/>
        <v/>
      </c>
      <c r="Y67" s="94">
        <f t="shared" si="2"/>
        <v>0</v>
      </c>
    </row>
    <row r="68" spans="15:25" x14ac:dyDescent="0.6">
      <c r="O68" s="92"/>
      <c r="P68" s="92"/>
      <c r="Q68" s="99"/>
      <c r="R68" s="100"/>
      <c r="S68" s="92"/>
      <c r="T68" s="92"/>
      <c r="U68" s="92"/>
      <c r="V68" s="94" t="str">
        <f t="shared" si="0"/>
        <v/>
      </c>
      <c r="W68" s="94">
        <f t="shared" si="1"/>
        <v>0</v>
      </c>
      <c r="X68" s="94" t="str">
        <f t="shared" si="3"/>
        <v/>
      </c>
      <c r="Y68" s="94">
        <f t="shared" si="2"/>
        <v>0</v>
      </c>
    </row>
    <row r="69" spans="15:25" x14ac:dyDescent="0.6">
      <c r="O69" s="92"/>
      <c r="P69" s="92"/>
      <c r="Q69" s="99"/>
      <c r="R69" s="100"/>
      <c r="S69" s="92"/>
      <c r="T69" s="92"/>
      <c r="U69" s="92"/>
      <c r="V69" s="94" t="str">
        <f t="shared" ref="V69:V132" si="4">IF(B69&lt;&gt;"",V68+1,"")</f>
        <v/>
      </c>
      <c r="W69" s="94">
        <f t="shared" ref="W69:W132" si="5">IFERROR(IF(ISEVEN(V69)=FALSE,0,1),0)</f>
        <v>0</v>
      </c>
      <c r="X69" s="94" t="str">
        <f t="shared" si="3"/>
        <v/>
      </c>
      <c r="Y69" s="94">
        <f t="shared" ref="Y69:Y132" si="6">IFERROR(IF(ISEVEN(X69)=FALSE,0,1),0)</f>
        <v>0</v>
      </c>
    </row>
    <row r="70" spans="15:25" x14ac:dyDescent="0.6">
      <c r="O70" s="92"/>
      <c r="P70" s="92"/>
      <c r="Q70" s="99"/>
      <c r="R70" s="100"/>
      <c r="S70" s="92"/>
      <c r="T70" s="92"/>
      <c r="U70" s="92"/>
      <c r="V70" s="94" t="str">
        <f t="shared" si="4"/>
        <v/>
      </c>
      <c r="W70" s="94">
        <f t="shared" si="5"/>
        <v>0</v>
      </c>
      <c r="X70" s="94" t="str">
        <f t="shared" ref="X70:X133" si="7">IF(O70&lt;&gt;"",X69+1,"")</f>
        <v/>
      </c>
      <c r="Y70" s="94">
        <f t="shared" si="6"/>
        <v>0</v>
      </c>
    </row>
    <row r="71" spans="15:25" x14ac:dyDescent="0.6">
      <c r="O71" s="92"/>
      <c r="P71" s="92"/>
      <c r="Q71" s="99"/>
      <c r="R71" s="100"/>
      <c r="S71" s="92"/>
      <c r="T71" s="92"/>
      <c r="U71" s="92"/>
      <c r="V71" s="94" t="str">
        <f t="shared" si="4"/>
        <v/>
      </c>
      <c r="W71" s="94">
        <f t="shared" si="5"/>
        <v>0</v>
      </c>
      <c r="X71" s="94" t="str">
        <f t="shared" si="7"/>
        <v/>
      </c>
      <c r="Y71" s="94">
        <f t="shared" si="6"/>
        <v>0</v>
      </c>
    </row>
    <row r="72" spans="15:25" x14ac:dyDescent="0.6">
      <c r="O72" s="92"/>
      <c r="P72" s="92"/>
      <c r="Q72" s="99"/>
      <c r="R72" s="100"/>
      <c r="S72" s="92"/>
      <c r="T72" s="92"/>
      <c r="U72" s="92"/>
      <c r="V72" s="94" t="str">
        <f t="shared" si="4"/>
        <v/>
      </c>
      <c r="W72" s="94">
        <f t="shared" si="5"/>
        <v>0</v>
      </c>
      <c r="X72" s="94" t="str">
        <f t="shared" si="7"/>
        <v/>
      </c>
      <c r="Y72" s="94">
        <f t="shared" si="6"/>
        <v>0</v>
      </c>
    </row>
    <row r="73" spans="15:25" x14ac:dyDescent="0.6">
      <c r="O73" s="92"/>
      <c r="P73" s="92"/>
      <c r="Q73" s="99"/>
      <c r="R73" s="100"/>
      <c r="S73" s="92"/>
      <c r="T73" s="92"/>
      <c r="U73" s="92"/>
      <c r="V73" s="94" t="str">
        <f t="shared" si="4"/>
        <v/>
      </c>
      <c r="W73" s="94">
        <f t="shared" si="5"/>
        <v>0</v>
      </c>
      <c r="X73" s="94" t="str">
        <f t="shared" si="7"/>
        <v/>
      </c>
      <c r="Y73" s="94">
        <f t="shared" si="6"/>
        <v>0</v>
      </c>
    </row>
    <row r="74" spans="15:25" x14ac:dyDescent="0.6">
      <c r="O74" s="92"/>
      <c r="P74" s="92"/>
      <c r="Q74" s="99"/>
      <c r="R74" s="100"/>
      <c r="S74" s="92"/>
      <c r="T74" s="92"/>
      <c r="U74" s="92"/>
      <c r="V74" s="94" t="str">
        <f t="shared" si="4"/>
        <v/>
      </c>
      <c r="W74" s="94">
        <f t="shared" si="5"/>
        <v>0</v>
      </c>
      <c r="X74" s="94" t="str">
        <f t="shared" si="7"/>
        <v/>
      </c>
      <c r="Y74" s="94">
        <f t="shared" si="6"/>
        <v>0</v>
      </c>
    </row>
    <row r="75" spans="15:25" x14ac:dyDescent="0.6">
      <c r="O75" s="92"/>
      <c r="P75" s="92"/>
      <c r="Q75" s="99"/>
      <c r="R75" s="100"/>
      <c r="S75" s="92"/>
      <c r="T75" s="92"/>
      <c r="U75" s="92"/>
      <c r="V75" s="94" t="str">
        <f t="shared" si="4"/>
        <v/>
      </c>
      <c r="W75" s="94">
        <f t="shared" si="5"/>
        <v>0</v>
      </c>
      <c r="X75" s="94" t="str">
        <f t="shared" si="7"/>
        <v/>
      </c>
      <c r="Y75" s="94">
        <f t="shared" si="6"/>
        <v>0</v>
      </c>
    </row>
    <row r="76" spans="15:25" x14ac:dyDescent="0.6">
      <c r="O76" s="92"/>
      <c r="P76" s="92"/>
      <c r="Q76" s="99"/>
      <c r="R76" s="100"/>
      <c r="S76" s="92"/>
      <c r="T76" s="92"/>
      <c r="U76" s="92"/>
      <c r="V76" s="94" t="str">
        <f t="shared" si="4"/>
        <v/>
      </c>
      <c r="W76" s="94">
        <f t="shared" si="5"/>
        <v>0</v>
      </c>
      <c r="X76" s="94" t="str">
        <f t="shared" si="7"/>
        <v/>
      </c>
      <c r="Y76" s="94">
        <f t="shared" si="6"/>
        <v>0</v>
      </c>
    </row>
    <row r="77" spans="15:25" x14ac:dyDescent="0.6">
      <c r="O77" s="92"/>
      <c r="P77" s="92"/>
      <c r="Q77" s="99"/>
      <c r="R77" s="100"/>
      <c r="S77" s="92"/>
      <c r="T77" s="92"/>
      <c r="U77" s="92"/>
      <c r="V77" s="94" t="str">
        <f t="shared" si="4"/>
        <v/>
      </c>
      <c r="W77" s="94">
        <f t="shared" si="5"/>
        <v>0</v>
      </c>
      <c r="X77" s="94" t="str">
        <f t="shared" si="7"/>
        <v/>
      </c>
      <c r="Y77" s="94">
        <f t="shared" si="6"/>
        <v>0</v>
      </c>
    </row>
    <row r="78" spans="15:25" x14ac:dyDescent="0.6">
      <c r="O78" s="92"/>
      <c r="P78" s="92"/>
      <c r="Q78" s="99"/>
      <c r="R78" s="100"/>
      <c r="S78" s="92"/>
      <c r="T78" s="92"/>
      <c r="U78" s="92"/>
      <c r="V78" s="94" t="str">
        <f t="shared" si="4"/>
        <v/>
      </c>
      <c r="W78" s="94">
        <f t="shared" si="5"/>
        <v>0</v>
      </c>
      <c r="X78" s="94" t="str">
        <f t="shared" si="7"/>
        <v/>
      </c>
      <c r="Y78" s="94">
        <f t="shared" si="6"/>
        <v>0</v>
      </c>
    </row>
    <row r="79" spans="15:25" x14ac:dyDescent="0.6">
      <c r="O79" s="92"/>
      <c r="P79" s="92"/>
      <c r="Q79" s="99"/>
      <c r="R79" s="100"/>
      <c r="S79" s="92"/>
      <c r="T79" s="92"/>
      <c r="U79" s="92"/>
      <c r="V79" s="94" t="str">
        <f t="shared" si="4"/>
        <v/>
      </c>
      <c r="W79" s="94">
        <f t="shared" si="5"/>
        <v>0</v>
      </c>
      <c r="X79" s="94" t="str">
        <f t="shared" si="7"/>
        <v/>
      </c>
      <c r="Y79" s="94">
        <f t="shared" si="6"/>
        <v>0</v>
      </c>
    </row>
    <row r="80" spans="15:25" x14ac:dyDescent="0.6">
      <c r="O80" s="92"/>
      <c r="P80" s="92"/>
      <c r="Q80" s="99"/>
      <c r="R80" s="100"/>
      <c r="S80" s="92"/>
      <c r="T80" s="92"/>
      <c r="U80" s="92"/>
      <c r="V80" s="94" t="str">
        <f t="shared" si="4"/>
        <v/>
      </c>
      <c r="W80" s="94">
        <f t="shared" si="5"/>
        <v>0</v>
      </c>
      <c r="X80" s="94" t="str">
        <f t="shared" si="7"/>
        <v/>
      </c>
      <c r="Y80" s="94">
        <f t="shared" si="6"/>
        <v>0</v>
      </c>
    </row>
    <row r="81" spans="15:25" x14ac:dyDescent="0.6">
      <c r="O81" s="92"/>
      <c r="P81" s="92"/>
      <c r="Q81" s="99"/>
      <c r="R81" s="100"/>
      <c r="S81" s="92"/>
      <c r="T81" s="92"/>
      <c r="U81" s="92"/>
      <c r="V81" s="94" t="str">
        <f t="shared" si="4"/>
        <v/>
      </c>
      <c r="W81" s="94">
        <f t="shared" si="5"/>
        <v>0</v>
      </c>
      <c r="X81" s="94" t="str">
        <f t="shared" si="7"/>
        <v/>
      </c>
      <c r="Y81" s="94">
        <f t="shared" si="6"/>
        <v>0</v>
      </c>
    </row>
    <row r="82" spans="15:25" x14ac:dyDescent="0.6">
      <c r="O82" s="92"/>
      <c r="P82" s="92"/>
      <c r="Q82" s="99"/>
      <c r="R82" s="100"/>
      <c r="S82" s="92"/>
      <c r="T82" s="92"/>
      <c r="U82" s="92"/>
      <c r="V82" s="94" t="str">
        <f t="shared" si="4"/>
        <v/>
      </c>
      <c r="W82" s="94">
        <f t="shared" si="5"/>
        <v>0</v>
      </c>
      <c r="X82" s="94" t="str">
        <f t="shared" si="7"/>
        <v/>
      </c>
      <c r="Y82" s="94">
        <f t="shared" si="6"/>
        <v>0</v>
      </c>
    </row>
    <row r="83" spans="15:25" x14ac:dyDescent="0.6">
      <c r="O83" s="92"/>
      <c r="P83" s="92"/>
      <c r="Q83" s="99"/>
      <c r="R83" s="100"/>
      <c r="S83" s="92"/>
      <c r="T83" s="92"/>
      <c r="U83" s="92"/>
      <c r="V83" s="94" t="str">
        <f t="shared" si="4"/>
        <v/>
      </c>
      <c r="W83" s="94">
        <f t="shared" si="5"/>
        <v>0</v>
      </c>
      <c r="X83" s="94" t="str">
        <f t="shared" si="7"/>
        <v/>
      </c>
      <c r="Y83" s="94">
        <f t="shared" si="6"/>
        <v>0</v>
      </c>
    </row>
    <row r="84" spans="15:25" x14ac:dyDescent="0.6">
      <c r="O84" s="92"/>
      <c r="P84" s="92"/>
      <c r="Q84" s="99"/>
      <c r="R84" s="100"/>
      <c r="S84" s="92"/>
      <c r="T84" s="92"/>
      <c r="U84" s="92"/>
      <c r="V84" s="94" t="str">
        <f t="shared" si="4"/>
        <v/>
      </c>
      <c r="W84" s="94">
        <f t="shared" si="5"/>
        <v>0</v>
      </c>
      <c r="X84" s="94" t="str">
        <f t="shared" si="7"/>
        <v/>
      </c>
      <c r="Y84" s="94">
        <f t="shared" si="6"/>
        <v>0</v>
      </c>
    </row>
    <row r="85" spans="15:25" x14ac:dyDescent="0.6">
      <c r="O85" s="92"/>
      <c r="P85" s="92"/>
      <c r="Q85" s="99"/>
      <c r="R85" s="100"/>
      <c r="S85" s="92"/>
      <c r="T85" s="92"/>
      <c r="U85" s="92"/>
      <c r="V85" s="94" t="str">
        <f t="shared" si="4"/>
        <v/>
      </c>
      <c r="W85" s="94">
        <f t="shared" si="5"/>
        <v>0</v>
      </c>
      <c r="X85" s="94" t="str">
        <f t="shared" si="7"/>
        <v/>
      </c>
      <c r="Y85" s="94">
        <f t="shared" si="6"/>
        <v>0</v>
      </c>
    </row>
    <row r="86" spans="15:25" x14ac:dyDescent="0.6">
      <c r="O86" s="92"/>
      <c r="P86" s="92"/>
      <c r="Q86" s="99"/>
      <c r="R86" s="100"/>
      <c r="S86" s="92"/>
      <c r="T86" s="92"/>
      <c r="U86" s="92"/>
      <c r="V86" s="94" t="str">
        <f t="shared" si="4"/>
        <v/>
      </c>
      <c r="W86" s="94">
        <f t="shared" si="5"/>
        <v>0</v>
      </c>
      <c r="X86" s="94" t="str">
        <f t="shared" si="7"/>
        <v/>
      </c>
      <c r="Y86" s="94">
        <f t="shared" si="6"/>
        <v>0</v>
      </c>
    </row>
    <row r="87" spans="15:25" x14ac:dyDescent="0.6">
      <c r="O87" s="92"/>
      <c r="P87" s="92"/>
      <c r="Q87" s="99"/>
      <c r="R87" s="100"/>
      <c r="S87" s="92"/>
      <c r="T87" s="92"/>
      <c r="U87" s="92"/>
      <c r="V87" s="94" t="str">
        <f t="shared" si="4"/>
        <v/>
      </c>
      <c r="W87" s="94">
        <f t="shared" si="5"/>
        <v>0</v>
      </c>
      <c r="X87" s="94" t="str">
        <f t="shared" si="7"/>
        <v/>
      </c>
      <c r="Y87" s="94">
        <f t="shared" si="6"/>
        <v>0</v>
      </c>
    </row>
    <row r="88" spans="15:25" x14ac:dyDescent="0.6">
      <c r="O88" s="92"/>
      <c r="P88" s="92"/>
      <c r="Q88" s="99"/>
      <c r="R88" s="100"/>
      <c r="S88" s="92"/>
      <c r="T88" s="92"/>
      <c r="U88" s="92"/>
      <c r="V88" s="94" t="str">
        <f t="shared" si="4"/>
        <v/>
      </c>
      <c r="W88" s="94">
        <f t="shared" si="5"/>
        <v>0</v>
      </c>
      <c r="X88" s="94" t="str">
        <f t="shared" si="7"/>
        <v/>
      </c>
      <c r="Y88" s="94">
        <f t="shared" si="6"/>
        <v>0</v>
      </c>
    </row>
    <row r="89" spans="15:25" x14ac:dyDescent="0.6">
      <c r="O89" s="92"/>
      <c r="P89" s="92"/>
      <c r="Q89" s="99"/>
      <c r="R89" s="100"/>
      <c r="S89" s="92"/>
      <c r="T89" s="92"/>
      <c r="U89" s="92"/>
      <c r="V89" s="94" t="str">
        <f t="shared" si="4"/>
        <v/>
      </c>
      <c r="W89" s="94">
        <f t="shared" si="5"/>
        <v>0</v>
      </c>
      <c r="X89" s="94" t="str">
        <f t="shared" si="7"/>
        <v/>
      </c>
      <c r="Y89" s="94">
        <f t="shared" si="6"/>
        <v>0</v>
      </c>
    </row>
    <row r="90" spans="15:25" x14ac:dyDescent="0.6">
      <c r="O90" s="92"/>
      <c r="P90" s="92"/>
      <c r="Q90" s="99"/>
      <c r="R90" s="100"/>
      <c r="S90" s="92"/>
      <c r="T90" s="92"/>
      <c r="U90" s="92"/>
      <c r="V90" s="94" t="str">
        <f t="shared" si="4"/>
        <v/>
      </c>
      <c r="W90" s="94">
        <f t="shared" si="5"/>
        <v>0</v>
      </c>
      <c r="X90" s="94" t="str">
        <f t="shared" si="7"/>
        <v/>
      </c>
      <c r="Y90" s="94">
        <f t="shared" si="6"/>
        <v>0</v>
      </c>
    </row>
    <row r="91" spans="15:25" x14ac:dyDescent="0.6">
      <c r="O91" s="92"/>
      <c r="P91" s="92"/>
      <c r="Q91" s="99"/>
      <c r="R91" s="100"/>
      <c r="S91" s="92"/>
      <c r="T91" s="92"/>
      <c r="U91" s="92"/>
      <c r="V91" s="94" t="str">
        <f t="shared" si="4"/>
        <v/>
      </c>
      <c r="W91" s="94">
        <f t="shared" si="5"/>
        <v>0</v>
      </c>
      <c r="X91" s="94" t="str">
        <f t="shared" si="7"/>
        <v/>
      </c>
      <c r="Y91" s="94">
        <f t="shared" si="6"/>
        <v>0</v>
      </c>
    </row>
    <row r="92" spans="15:25" x14ac:dyDescent="0.6">
      <c r="O92" s="92"/>
      <c r="P92" s="92"/>
      <c r="Q92" s="99"/>
      <c r="R92" s="100"/>
      <c r="S92" s="92"/>
      <c r="T92" s="92"/>
      <c r="U92" s="92"/>
      <c r="V92" s="94" t="str">
        <f t="shared" si="4"/>
        <v/>
      </c>
      <c r="W92" s="94">
        <f t="shared" si="5"/>
        <v>0</v>
      </c>
      <c r="X92" s="94" t="str">
        <f t="shared" si="7"/>
        <v/>
      </c>
      <c r="Y92" s="94">
        <f t="shared" si="6"/>
        <v>0</v>
      </c>
    </row>
    <row r="93" spans="15:25" x14ac:dyDescent="0.6">
      <c r="O93" s="92"/>
      <c r="P93" s="92"/>
      <c r="Q93" s="99"/>
      <c r="R93" s="100"/>
      <c r="S93" s="92"/>
      <c r="T93" s="92"/>
      <c r="U93" s="92"/>
      <c r="V93" s="94" t="str">
        <f t="shared" si="4"/>
        <v/>
      </c>
      <c r="W93" s="94">
        <f t="shared" si="5"/>
        <v>0</v>
      </c>
      <c r="X93" s="94" t="str">
        <f t="shared" si="7"/>
        <v/>
      </c>
      <c r="Y93" s="94">
        <f t="shared" si="6"/>
        <v>0</v>
      </c>
    </row>
    <row r="94" spans="15:25" x14ac:dyDescent="0.6">
      <c r="O94" s="92"/>
      <c r="P94" s="92"/>
      <c r="Q94" s="99"/>
      <c r="R94" s="100"/>
      <c r="S94" s="92"/>
      <c r="T94" s="92"/>
      <c r="U94" s="92"/>
      <c r="V94" s="94" t="str">
        <f t="shared" si="4"/>
        <v/>
      </c>
      <c r="W94" s="94">
        <f t="shared" si="5"/>
        <v>0</v>
      </c>
      <c r="X94" s="94" t="str">
        <f t="shared" si="7"/>
        <v/>
      </c>
      <c r="Y94" s="94">
        <f t="shared" si="6"/>
        <v>0</v>
      </c>
    </row>
    <row r="95" spans="15:25" x14ac:dyDescent="0.6">
      <c r="O95" s="92"/>
      <c r="P95" s="92"/>
      <c r="Q95" s="99"/>
      <c r="R95" s="100"/>
      <c r="S95" s="92"/>
      <c r="T95" s="92"/>
      <c r="U95" s="92"/>
      <c r="V95" s="94" t="str">
        <f t="shared" si="4"/>
        <v/>
      </c>
      <c r="W95" s="94">
        <f t="shared" si="5"/>
        <v>0</v>
      </c>
      <c r="X95" s="94" t="str">
        <f t="shared" si="7"/>
        <v/>
      </c>
      <c r="Y95" s="94">
        <f t="shared" si="6"/>
        <v>0</v>
      </c>
    </row>
    <row r="96" spans="15:25" x14ac:dyDescent="0.6">
      <c r="O96" s="92"/>
      <c r="P96" s="92"/>
      <c r="Q96" s="99"/>
      <c r="R96" s="100"/>
      <c r="S96" s="92"/>
      <c r="T96" s="92"/>
      <c r="U96" s="92"/>
      <c r="V96" s="94" t="str">
        <f t="shared" si="4"/>
        <v/>
      </c>
      <c r="W96" s="94">
        <f t="shared" si="5"/>
        <v>0</v>
      </c>
      <c r="X96" s="94" t="str">
        <f t="shared" si="7"/>
        <v/>
      </c>
      <c r="Y96" s="94">
        <f t="shared" si="6"/>
        <v>0</v>
      </c>
    </row>
    <row r="97" spans="15:25" x14ac:dyDescent="0.6">
      <c r="O97" s="92"/>
      <c r="P97" s="92"/>
      <c r="Q97" s="99"/>
      <c r="R97" s="100"/>
      <c r="S97" s="92"/>
      <c r="T97" s="92"/>
      <c r="U97" s="92"/>
      <c r="V97" s="94" t="str">
        <f t="shared" si="4"/>
        <v/>
      </c>
      <c r="W97" s="94">
        <f t="shared" si="5"/>
        <v>0</v>
      </c>
      <c r="X97" s="94" t="str">
        <f t="shared" si="7"/>
        <v/>
      </c>
      <c r="Y97" s="94">
        <f t="shared" si="6"/>
        <v>0</v>
      </c>
    </row>
    <row r="98" spans="15:25" x14ac:dyDescent="0.6">
      <c r="O98" s="92"/>
      <c r="P98" s="92"/>
      <c r="Q98" s="99"/>
      <c r="R98" s="100"/>
      <c r="S98" s="92"/>
      <c r="T98" s="92"/>
      <c r="U98" s="92"/>
      <c r="V98" s="94" t="str">
        <f t="shared" si="4"/>
        <v/>
      </c>
      <c r="W98" s="94">
        <f t="shared" si="5"/>
        <v>0</v>
      </c>
      <c r="X98" s="94" t="str">
        <f t="shared" si="7"/>
        <v/>
      </c>
      <c r="Y98" s="94">
        <f t="shared" si="6"/>
        <v>0</v>
      </c>
    </row>
    <row r="99" spans="15:25" x14ac:dyDescent="0.6">
      <c r="O99" s="92"/>
      <c r="P99" s="92"/>
      <c r="Q99" s="99"/>
      <c r="R99" s="100"/>
      <c r="S99" s="92"/>
      <c r="T99" s="92"/>
      <c r="U99" s="92"/>
      <c r="V99" s="94" t="str">
        <f t="shared" si="4"/>
        <v/>
      </c>
      <c r="W99" s="94">
        <f t="shared" si="5"/>
        <v>0</v>
      </c>
      <c r="X99" s="94" t="str">
        <f t="shared" si="7"/>
        <v/>
      </c>
      <c r="Y99" s="94">
        <f t="shared" si="6"/>
        <v>0</v>
      </c>
    </row>
    <row r="100" spans="15:25" x14ac:dyDescent="0.6">
      <c r="O100" s="92"/>
      <c r="P100" s="92"/>
      <c r="Q100" s="99"/>
      <c r="R100" s="100"/>
      <c r="S100" s="92"/>
      <c r="T100" s="92"/>
      <c r="U100" s="92"/>
      <c r="V100" s="94" t="str">
        <f t="shared" si="4"/>
        <v/>
      </c>
      <c r="W100" s="94">
        <f t="shared" si="5"/>
        <v>0</v>
      </c>
      <c r="X100" s="94" t="str">
        <f t="shared" si="7"/>
        <v/>
      </c>
      <c r="Y100" s="94">
        <f t="shared" si="6"/>
        <v>0</v>
      </c>
    </row>
    <row r="101" spans="15:25" x14ac:dyDescent="0.6">
      <c r="O101" s="92"/>
      <c r="P101" s="92"/>
      <c r="Q101" s="99"/>
      <c r="R101" s="100"/>
      <c r="S101" s="92"/>
      <c r="T101" s="92"/>
      <c r="U101" s="92"/>
      <c r="V101" s="94" t="str">
        <f t="shared" si="4"/>
        <v/>
      </c>
      <c r="W101" s="94">
        <f t="shared" si="5"/>
        <v>0</v>
      </c>
      <c r="X101" s="94" t="str">
        <f t="shared" si="7"/>
        <v/>
      </c>
      <c r="Y101" s="94">
        <f t="shared" si="6"/>
        <v>0</v>
      </c>
    </row>
    <row r="102" spans="15:25" x14ac:dyDescent="0.6">
      <c r="O102" s="92"/>
      <c r="P102" s="92"/>
      <c r="Q102" s="99"/>
      <c r="R102" s="100"/>
      <c r="S102" s="92"/>
      <c r="T102" s="92"/>
      <c r="U102" s="92"/>
      <c r="V102" s="94" t="str">
        <f t="shared" si="4"/>
        <v/>
      </c>
      <c r="W102" s="94">
        <f t="shared" si="5"/>
        <v>0</v>
      </c>
      <c r="X102" s="94" t="str">
        <f t="shared" si="7"/>
        <v/>
      </c>
      <c r="Y102" s="94">
        <f t="shared" si="6"/>
        <v>0</v>
      </c>
    </row>
    <row r="103" spans="15:25" x14ac:dyDescent="0.6">
      <c r="O103" s="92"/>
      <c r="P103" s="92"/>
      <c r="Q103" s="99"/>
      <c r="R103" s="100"/>
      <c r="S103" s="92"/>
      <c r="T103" s="92"/>
      <c r="U103" s="92"/>
      <c r="V103" s="94" t="str">
        <f t="shared" si="4"/>
        <v/>
      </c>
      <c r="W103" s="94">
        <f t="shared" si="5"/>
        <v>0</v>
      </c>
      <c r="X103" s="94" t="str">
        <f t="shared" si="7"/>
        <v/>
      </c>
      <c r="Y103" s="94">
        <f t="shared" si="6"/>
        <v>0</v>
      </c>
    </row>
    <row r="104" spans="15:25" x14ac:dyDescent="0.6">
      <c r="O104" s="92"/>
      <c r="P104" s="92"/>
      <c r="Q104" s="99"/>
      <c r="R104" s="100"/>
      <c r="S104" s="92"/>
      <c r="T104" s="92"/>
      <c r="U104" s="92"/>
      <c r="V104" s="94" t="str">
        <f t="shared" si="4"/>
        <v/>
      </c>
      <c r="W104" s="94">
        <f t="shared" si="5"/>
        <v>0</v>
      </c>
      <c r="X104" s="94" t="str">
        <f t="shared" si="7"/>
        <v/>
      </c>
      <c r="Y104" s="94">
        <f t="shared" si="6"/>
        <v>0</v>
      </c>
    </row>
    <row r="105" spans="15:25" x14ac:dyDescent="0.6">
      <c r="O105" s="92"/>
      <c r="P105" s="92"/>
      <c r="Q105" s="99"/>
      <c r="R105" s="100"/>
      <c r="S105" s="92"/>
      <c r="T105" s="92"/>
      <c r="U105" s="92"/>
      <c r="V105" s="94" t="str">
        <f t="shared" si="4"/>
        <v/>
      </c>
      <c r="W105" s="94">
        <f t="shared" si="5"/>
        <v>0</v>
      </c>
      <c r="X105" s="94" t="str">
        <f t="shared" si="7"/>
        <v/>
      </c>
      <c r="Y105" s="94">
        <f t="shared" si="6"/>
        <v>0</v>
      </c>
    </row>
    <row r="106" spans="15:25" x14ac:dyDescent="0.6">
      <c r="O106" s="92"/>
      <c r="P106" s="92"/>
      <c r="Q106" s="99"/>
      <c r="R106" s="100"/>
      <c r="S106" s="92"/>
      <c r="T106" s="92"/>
      <c r="U106" s="92"/>
      <c r="V106" s="94" t="str">
        <f t="shared" si="4"/>
        <v/>
      </c>
      <c r="W106" s="94">
        <f t="shared" si="5"/>
        <v>0</v>
      </c>
      <c r="X106" s="94" t="str">
        <f t="shared" si="7"/>
        <v/>
      </c>
      <c r="Y106" s="94">
        <f t="shared" si="6"/>
        <v>0</v>
      </c>
    </row>
    <row r="107" spans="15:25" x14ac:dyDescent="0.6">
      <c r="O107" s="92"/>
      <c r="P107" s="92"/>
      <c r="Q107" s="99"/>
      <c r="R107" s="100"/>
      <c r="S107" s="92"/>
      <c r="T107" s="92"/>
      <c r="U107" s="92"/>
      <c r="V107" s="94" t="str">
        <f t="shared" si="4"/>
        <v/>
      </c>
      <c r="W107" s="94">
        <f t="shared" si="5"/>
        <v>0</v>
      </c>
      <c r="X107" s="94" t="str">
        <f t="shared" si="7"/>
        <v/>
      </c>
      <c r="Y107" s="94">
        <f t="shared" si="6"/>
        <v>0</v>
      </c>
    </row>
    <row r="108" spans="15:25" x14ac:dyDescent="0.6">
      <c r="O108" s="92"/>
      <c r="P108" s="92"/>
      <c r="Q108" s="99"/>
      <c r="R108" s="100"/>
      <c r="S108" s="92"/>
      <c r="T108" s="92"/>
      <c r="U108" s="92"/>
      <c r="V108" s="94" t="str">
        <f t="shared" si="4"/>
        <v/>
      </c>
      <c r="W108" s="94">
        <f t="shared" si="5"/>
        <v>0</v>
      </c>
      <c r="X108" s="94" t="str">
        <f t="shared" si="7"/>
        <v/>
      </c>
      <c r="Y108" s="94">
        <f t="shared" si="6"/>
        <v>0</v>
      </c>
    </row>
    <row r="109" spans="15:25" x14ac:dyDescent="0.6">
      <c r="O109" s="92"/>
      <c r="P109" s="92"/>
      <c r="Q109" s="99"/>
      <c r="R109" s="100"/>
      <c r="S109" s="92"/>
      <c r="T109" s="92"/>
      <c r="U109" s="92"/>
      <c r="V109" s="94" t="str">
        <f t="shared" si="4"/>
        <v/>
      </c>
      <c r="W109" s="94">
        <f t="shared" si="5"/>
        <v>0</v>
      </c>
      <c r="X109" s="94" t="str">
        <f t="shared" si="7"/>
        <v/>
      </c>
      <c r="Y109" s="94">
        <f t="shared" si="6"/>
        <v>0</v>
      </c>
    </row>
    <row r="110" spans="15:25" x14ac:dyDescent="0.6">
      <c r="O110" s="92"/>
      <c r="P110" s="92"/>
      <c r="Q110" s="99"/>
      <c r="R110" s="100"/>
      <c r="S110" s="92"/>
      <c r="T110" s="92"/>
      <c r="U110" s="92"/>
      <c r="V110" s="94" t="str">
        <f t="shared" si="4"/>
        <v/>
      </c>
      <c r="W110" s="94">
        <f t="shared" si="5"/>
        <v>0</v>
      </c>
      <c r="X110" s="94" t="str">
        <f t="shared" si="7"/>
        <v/>
      </c>
      <c r="Y110" s="94">
        <f t="shared" si="6"/>
        <v>0</v>
      </c>
    </row>
    <row r="111" spans="15:25" x14ac:dyDescent="0.6">
      <c r="O111" s="92"/>
      <c r="P111" s="92"/>
      <c r="Q111" s="99"/>
      <c r="R111" s="100"/>
      <c r="S111" s="92"/>
      <c r="T111" s="92"/>
      <c r="U111" s="92"/>
      <c r="V111" s="94" t="str">
        <f t="shared" si="4"/>
        <v/>
      </c>
      <c r="W111" s="94">
        <f t="shared" si="5"/>
        <v>0</v>
      </c>
      <c r="X111" s="94" t="str">
        <f t="shared" si="7"/>
        <v/>
      </c>
      <c r="Y111" s="94">
        <f t="shared" si="6"/>
        <v>0</v>
      </c>
    </row>
    <row r="112" spans="15:25" x14ac:dyDescent="0.6">
      <c r="O112" s="92"/>
      <c r="P112" s="92"/>
      <c r="Q112" s="99"/>
      <c r="R112" s="100"/>
      <c r="S112" s="92"/>
      <c r="T112" s="92"/>
      <c r="U112" s="92"/>
      <c r="V112" s="94" t="str">
        <f t="shared" si="4"/>
        <v/>
      </c>
      <c r="W112" s="94">
        <f t="shared" si="5"/>
        <v>0</v>
      </c>
      <c r="X112" s="94" t="str">
        <f t="shared" si="7"/>
        <v/>
      </c>
      <c r="Y112" s="94">
        <f t="shared" si="6"/>
        <v>0</v>
      </c>
    </row>
    <row r="113" spans="15:25" x14ac:dyDescent="0.6">
      <c r="O113" s="92"/>
      <c r="P113" s="92"/>
      <c r="Q113" s="99"/>
      <c r="R113" s="100"/>
      <c r="S113" s="92"/>
      <c r="T113" s="92"/>
      <c r="U113" s="92"/>
      <c r="V113" s="94" t="str">
        <f t="shared" si="4"/>
        <v/>
      </c>
      <c r="W113" s="94">
        <f t="shared" si="5"/>
        <v>0</v>
      </c>
      <c r="X113" s="94" t="str">
        <f t="shared" si="7"/>
        <v/>
      </c>
      <c r="Y113" s="94">
        <f t="shared" si="6"/>
        <v>0</v>
      </c>
    </row>
    <row r="114" spans="15:25" x14ac:dyDescent="0.6">
      <c r="O114" s="92"/>
      <c r="P114" s="92"/>
      <c r="Q114" s="99"/>
      <c r="R114" s="100"/>
      <c r="S114" s="92"/>
      <c r="T114" s="92"/>
      <c r="U114" s="92"/>
      <c r="V114" s="94" t="str">
        <f t="shared" si="4"/>
        <v/>
      </c>
      <c r="W114" s="94">
        <f t="shared" si="5"/>
        <v>0</v>
      </c>
      <c r="X114" s="94" t="str">
        <f t="shared" si="7"/>
        <v/>
      </c>
      <c r="Y114" s="94">
        <f t="shared" si="6"/>
        <v>0</v>
      </c>
    </row>
    <row r="115" spans="15:25" x14ac:dyDescent="0.6">
      <c r="O115" s="92"/>
      <c r="P115" s="92"/>
      <c r="Q115" s="99"/>
      <c r="R115" s="100"/>
      <c r="S115" s="92"/>
      <c r="T115" s="92"/>
      <c r="U115" s="92"/>
      <c r="V115" s="94" t="str">
        <f t="shared" si="4"/>
        <v/>
      </c>
      <c r="W115" s="94">
        <f t="shared" si="5"/>
        <v>0</v>
      </c>
      <c r="X115" s="94" t="str">
        <f t="shared" si="7"/>
        <v/>
      </c>
      <c r="Y115" s="94">
        <f t="shared" si="6"/>
        <v>0</v>
      </c>
    </row>
    <row r="116" spans="15:25" x14ac:dyDescent="0.6">
      <c r="O116" s="92"/>
      <c r="P116" s="92"/>
      <c r="Q116" s="99"/>
      <c r="R116" s="100"/>
      <c r="S116" s="92"/>
      <c r="T116" s="92"/>
      <c r="U116" s="92"/>
      <c r="V116" s="94" t="str">
        <f t="shared" si="4"/>
        <v/>
      </c>
      <c r="W116" s="94">
        <f t="shared" si="5"/>
        <v>0</v>
      </c>
      <c r="X116" s="94" t="str">
        <f t="shared" si="7"/>
        <v/>
      </c>
      <c r="Y116" s="94">
        <f t="shared" si="6"/>
        <v>0</v>
      </c>
    </row>
    <row r="117" spans="15:25" x14ac:dyDescent="0.6">
      <c r="O117" s="92"/>
      <c r="P117" s="92"/>
      <c r="Q117" s="99"/>
      <c r="R117" s="100"/>
      <c r="S117" s="92"/>
      <c r="T117" s="92"/>
      <c r="U117" s="92"/>
      <c r="V117" s="94" t="str">
        <f t="shared" si="4"/>
        <v/>
      </c>
      <c r="W117" s="94">
        <f t="shared" si="5"/>
        <v>0</v>
      </c>
      <c r="X117" s="94" t="str">
        <f t="shared" si="7"/>
        <v/>
      </c>
      <c r="Y117" s="94">
        <f t="shared" si="6"/>
        <v>0</v>
      </c>
    </row>
    <row r="118" spans="15:25" x14ac:dyDescent="0.6">
      <c r="O118" s="92"/>
      <c r="P118" s="92"/>
      <c r="Q118" s="99"/>
      <c r="R118" s="100"/>
      <c r="S118" s="92"/>
      <c r="T118" s="92"/>
      <c r="U118" s="92"/>
      <c r="V118" s="94" t="str">
        <f t="shared" si="4"/>
        <v/>
      </c>
      <c r="W118" s="94">
        <f t="shared" si="5"/>
        <v>0</v>
      </c>
      <c r="X118" s="94" t="str">
        <f t="shared" si="7"/>
        <v/>
      </c>
      <c r="Y118" s="94">
        <f t="shared" si="6"/>
        <v>0</v>
      </c>
    </row>
    <row r="119" spans="15:25" x14ac:dyDescent="0.6">
      <c r="O119" s="92"/>
      <c r="P119" s="92"/>
      <c r="Q119" s="99"/>
      <c r="R119" s="100"/>
      <c r="S119" s="92"/>
      <c r="T119" s="92"/>
      <c r="U119" s="92"/>
      <c r="V119" s="94" t="str">
        <f t="shared" si="4"/>
        <v/>
      </c>
      <c r="W119" s="94">
        <f t="shared" si="5"/>
        <v>0</v>
      </c>
      <c r="X119" s="94" t="str">
        <f t="shared" si="7"/>
        <v/>
      </c>
      <c r="Y119" s="94">
        <f t="shared" si="6"/>
        <v>0</v>
      </c>
    </row>
    <row r="120" spans="15:25" x14ac:dyDescent="0.6">
      <c r="O120" s="92"/>
      <c r="P120" s="92"/>
      <c r="Q120" s="99"/>
      <c r="R120" s="100"/>
      <c r="S120" s="92"/>
      <c r="T120" s="92"/>
      <c r="U120" s="92"/>
      <c r="V120" s="94" t="str">
        <f t="shared" si="4"/>
        <v/>
      </c>
      <c r="W120" s="94">
        <f t="shared" si="5"/>
        <v>0</v>
      </c>
      <c r="X120" s="94" t="str">
        <f t="shared" si="7"/>
        <v/>
      </c>
      <c r="Y120" s="94">
        <f t="shared" si="6"/>
        <v>0</v>
      </c>
    </row>
    <row r="121" spans="15:25" x14ac:dyDescent="0.6">
      <c r="O121" s="92"/>
      <c r="P121" s="92"/>
      <c r="Q121" s="99"/>
      <c r="R121" s="100"/>
      <c r="S121" s="92"/>
      <c r="T121" s="92"/>
      <c r="U121" s="92"/>
      <c r="V121" s="94" t="str">
        <f t="shared" si="4"/>
        <v/>
      </c>
      <c r="W121" s="94">
        <f t="shared" si="5"/>
        <v>0</v>
      </c>
      <c r="X121" s="94" t="str">
        <f t="shared" si="7"/>
        <v/>
      </c>
      <c r="Y121" s="94">
        <f t="shared" si="6"/>
        <v>0</v>
      </c>
    </row>
    <row r="122" spans="15:25" x14ac:dyDescent="0.6">
      <c r="O122" s="92"/>
      <c r="P122" s="92"/>
      <c r="Q122" s="99"/>
      <c r="R122" s="100"/>
      <c r="S122" s="92"/>
      <c r="T122" s="92"/>
      <c r="U122" s="92"/>
      <c r="V122" s="94" t="str">
        <f t="shared" si="4"/>
        <v/>
      </c>
      <c r="W122" s="94">
        <f t="shared" si="5"/>
        <v>0</v>
      </c>
      <c r="X122" s="94" t="str">
        <f t="shared" si="7"/>
        <v/>
      </c>
      <c r="Y122" s="94">
        <f t="shared" si="6"/>
        <v>0</v>
      </c>
    </row>
    <row r="123" spans="15:25" x14ac:dyDescent="0.6">
      <c r="O123" s="92"/>
      <c r="P123" s="92"/>
      <c r="Q123" s="99"/>
      <c r="R123" s="100"/>
      <c r="S123" s="92"/>
      <c r="T123" s="92"/>
      <c r="U123" s="92"/>
      <c r="V123" s="94" t="str">
        <f t="shared" si="4"/>
        <v/>
      </c>
      <c r="W123" s="94">
        <f t="shared" si="5"/>
        <v>0</v>
      </c>
      <c r="X123" s="94" t="str">
        <f t="shared" si="7"/>
        <v/>
      </c>
      <c r="Y123" s="94">
        <f t="shared" si="6"/>
        <v>0</v>
      </c>
    </row>
    <row r="124" spans="15:25" x14ac:dyDescent="0.6">
      <c r="O124" s="92"/>
      <c r="P124" s="92"/>
      <c r="Q124" s="99"/>
      <c r="R124" s="100"/>
      <c r="S124" s="92"/>
      <c r="T124" s="92"/>
      <c r="U124" s="92"/>
      <c r="V124" s="94" t="str">
        <f t="shared" si="4"/>
        <v/>
      </c>
      <c r="W124" s="94">
        <f t="shared" si="5"/>
        <v>0</v>
      </c>
      <c r="X124" s="94" t="str">
        <f t="shared" si="7"/>
        <v/>
      </c>
      <c r="Y124" s="94">
        <f t="shared" si="6"/>
        <v>0</v>
      </c>
    </row>
    <row r="125" spans="15:25" x14ac:dyDescent="0.6">
      <c r="O125" s="92"/>
      <c r="P125" s="92"/>
      <c r="Q125" s="99"/>
      <c r="R125" s="100"/>
      <c r="S125" s="92"/>
      <c r="T125" s="92"/>
      <c r="U125" s="92"/>
      <c r="V125" s="94" t="str">
        <f t="shared" si="4"/>
        <v/>
      </c>
      <c r="W125" s="94">
        <f t="shared" si="5"/>
        <v>0</v>
      </c>
      <c r="X125" s="94" t="str">
        <f t="shared" si="7"/>
        <v/>
      </c>
      <c r="Y125" s="94">
        <f t="shared" si="6"/>
        <v>0</v>
      </c>
    </row>
    <row r="126" spans="15:25" x14ac:dyDescent="0.6">
      <c r="O126" s="92"/>
      <c r="P126" s="92"/>
      <c r="Q126" s="99"/>
      <c r="R126" s="100"/>
      <c r="S126" s="92"/>
      <c r="T126" s="92"/>
      <c r="U126" s="92"/>
      <c r="V126" s="94" t="str">
        <f t="shared" si="4"/>
        <v/>
      </c>
      <c r="W126" s="94">
        <f t="shared" si="5"/>
        <v>0</v>
      </c>
      <c r="X126" s="94" t="str">
        <f t="shared" si="7"/>
        <v/>
      </c>
      <c r="Y126" s="94">
        <f t="shared" si="6"/>
        <v>0</v>
      </c>
    </row>
    <row r="127" spans="15:25" x14ac:dyDescent="0.6">
      <c r="O127" s="92"/>
      <c r="P127" s="92"/>
      <c r="Q127" s="99"/>
      <c r="R127" s="100"/>
      <c r="S127" s="92"/>
      <c r="T127" s="92"/>
      <c r="U127" s="92"/>
      <c r="V127" s="94" t="str">
        <f t="shared" si="4"/>
        <v/>
      </c>
      <c r="W127" s="94">
        <f t="shared" si="5"/>
        <v>0</v>
      </c>
      <c r="X127" s="94" t="str">
        <f t="shared" si="7"/>
        <v/>
      </c>
      <c r="Y127" s="94">
        <f t="shared" si="6"/>
        <v>0</v>
      </c>
    </row>
    <row r="128" spans="15:25" x14ac:dyDescent="0.6">
      <c r="O128" s="92"/>
      <c r="P128" s="92"/>
      <c r="Q128" s="99"/>
      <c r="R128" s="100"/>
      <c r="S128" s="92"/>
      <c r="T128" s="92"/>
      <c r="U128" s="92"/>
      <c r="V128" s="94" t="str">
        <f t="shared" si="4"/>
        <v/>
      </c>
      <c r="W128" s="94">
        <f t="shared" si="5"/>
        <v>0</v>
      </c>
      <c r="X128" s="94" t="str">
        <f t="shared" si="7"/>
        <v/>
      </c>
      <c r="Y128" s="94">
        <f t="shared" si="6"/>
        <v>0</v>
      </c>
    </row>
    <row r="129" spans="15:25" x14ac:dyDescent="0.6">
      <c r="O129" s="92"/>
      <c r="P129" s="92"/>
      <c r="Q129" s="99"/>
      <c r="R129" s="100"/>
      <c r="S129" s="92"/>
      <c r="T129" s="92"/>
      <c r="U129" s="92"/>
      <c r="V129" s="94" t="str">
        <f t="shared" si="4"/>
        <v/>
      </c>
      <c r="W129" s="94">
        <f t="shared" si="5"/>
        <v>0</v>
      </c>
      <c r="X129" s="94" t="str">
        <f t="shared" si="7"/>
        <v/>
      </c>
      <c r="Y129" s="94">
        <f t="shared" si="6"/>
        <v>0</v>
      </c>
    </row>
    <row r="130" spans="15:25" x14ac:dyDescent="0.6">
      <c r="O130" s="92"/>
      <c r="P130" s="92"/>
      <c r="Q130" s="99"/>
      <c r="R130" s="100"/>
      <c r="S130" s="92"/>
      <c r="T130" s="92"/>
      <c r="U130" s="92"/>
      <c r="V130" s="94" t="str">
        <f t="shared" si="4"/>
        <v/>
      </c>
      <c r="W130" s="94">
        <f t="shared" si="5"/>
        <v>0</v>
      </c>
      <c r="X130" s="94" t="str">
        <f t="shared" si="7"/>
        <v/>
      </c>
      <c r="Y130" s="94">
        <f t="shared" si="6"/>
        <v>0</v>
      </c>
    </row>
    <row r="131" spans="15:25" x14ac:dyDescent="0.6">
      <c r="O131" s="92"/>
      <c r="P131" s="92"/>
      <c r="Q131" s="99"/>
      <c r="R131" s="100"/>
      <c r="S131" s="92"/>
      <c r="T131" s="92"/>
      <c r="U131" s="92"/>
      <c r="V131" s="94" t="str">
        <f t="shared" si="4"/>
        <v/>
      </c>
      <c r="W131" s="94">
        <f t="shared" si="5"/>
        <v>0</v>
      </c>
      <c r="X131" s="94" t="str">
        <f t="shared" si="7"/>
        <v/>
      </c>
      <c r="Y131" s="94">
        <f t="shared" si="6"/>
        <v>0</v>
      </c>
    </row>
    <row r="132" spans="15:25" x14ac:dyDescent="0.6">
      <c r="O132" s="92"/>
      <c r="P132" s="92"/>
      <c r="Q132" s="99"/>
      <c r="R132" s="100"/>
      <c r="S132" s="92"/>
      <c r="T132" s="92"/>
      <c r="U132" s="92"/>
      <c r="V132" s="94" t="str">
        <f t="shared" si="4"/>
        <v/>
      </c>
      <c r="W132" s="94">
        <f t="shared" si="5"/>
        <v>0</v>
      </c>
      <c r="X132" s="94" t="str">
        <f t="shared" si="7"/>
        <v/>
      </c>
      <c r="Y132" s="94">
        <f t="shared" si="6"/>
        <v>0</v>
      </c>
    </row>
    <row r="133" spans="15:25" x14ac:dyDescent="0.6">
      <c r="O133" s="92"/>
      <c r="P133" s="92"/>
      <c r="Q133" s="99"/>
      <c r="R133" s="100"/>
      <c r="S133" s="92"/>
      <c r="T133" s="92"/>
      <c r="U133" s="92"/>
      <c r="V133" s="94" t="str">
        <f t="shared" ref="V133:V196" si="8">IF(B133&lt;&gt;"",V132+1,"")</f>
        <v/>
      </c>
      <c r="W133" s="94">
        <f t="shared" ref="W133:W196" si="9">IFERROR(IF(ISEVEN(V133)=FALSE,0,1),0)</f>
        <v>0</v>
      </c>
      <c r="X133" s="94" t="str">
        <f t="shared" si="7"/>
        <v/>
      </c>
      <c r="Y133" s="94">
        <f t="shared" ref="Y133:Y196" si="10">IFERROR(IF(ISEVEN(X133)=FALSE,0,1),0)</f>
        <v>0</v>
      </c>
    </row>
    <row r="134" spans="15:25" x14ac:dyDescent="0.6">
      <c r="O134" s="92"/>
      <c r="P134" s="92"/>
      <c r="Q134" s="99"/>
      <c r="R134" s="100"/>
      <c r="S134" s="92"/>
      <c r="T134" s="92"/>
      <c r="U134" s="92"/>
      <c r="V134" s="94" t="str">
        <f t="shared" si="8"/>
        <v/>
      </c>
      <c r="W134" s="94">
        <f t="shared" si="9"/>
        <v>0</v>
      </c>
      <c r="X134" s="94" t="str">
        <f t="shared" ref="X134:X197" si="11">IF(O134&lt;&gt;"",X133+1,"")</f>
        <v/>
      </c>
      <c r="Y134" s="94">
        <f t="shared" si="10"/>
        <v>0</v>
      </c>
    </row>
    <row r="135" spans="15:25" x14ac:dyDescent="0.6">
      <c r="O135" s="92"/>
      <c r="P135" s="92"/>
      <c r="Q135" s="99"/>
      <c r="R135" s="100"/>
      <c r="S135" s="92"/>
      <c r="T135" s="92"/>
      <c r="U135" s="92"/>
      <c r="V135" s="94" t="str">
        <f t="shared" si="8"/>
        <v/>
      </c>
      <c r="W135" s="94">
        <f t="shared" si="9"/>
        <v>0</v>
      </c>
      <c r="X135" s="94" t="str">
        <f t="shared" si="11"/>
        <v/>
      </c>
      <c r="Y135" s="94">
        <f t="shared" si="10"/>
        <v>0</v>
      </c>
    </row>
    <row r="136" spans="15:25" x14ac:dyDescent="0.6">
      <c r="O136" s="92"/>
      <c r="P136" s="92"/>
      <c r="Q136" s="99"/>
      <c r="R136" s="100"/>
      <c r="S136" s="92"/>
      <c r="T136" s="92"/>
      <c r="U136" s="92"/>
      <c r="V136" s="94" t="str">
        <f t="shared" si="8"/>
        <v/>
      </c>
      <c r="W136" s="94">
        <f t="shared" si="9"/>
        <v>0</v>
      </c>
      <c r="X136" s="94" t="str">
        <f t="shared" si="11"/>
        <v/>
      </c>
      <c r="Y136" s="94">
        <f t="shared" si="10"/>
        <v>0</v>
      </c>
    </row>
    <row r="137" spans="15:25" x14ac:dyDescent="0.6">
      <c r="O137" s="92"/>
      <c r="P137" s="92"/>
      <c r="Q137" s="99"/>
      <c r="R137" s="100"/>
      <c r="S137" s="92"/>
      <c r="T137" s="92"/>
      <c r="U137" s="92"/>
      <c r="V137" s="94" t="str">
        <f t="shared" si="8"/>
        <v/>
      </c>
      <c r="W137" s="94">
        <f t="shared" si="9"/>
        <v>0</v>
      </c>
      <c r="X137" s="94" t="str">
        <f t="shared" si="11"/>
        <v/>
      </c>
      <c r="Y137" s="94">
        <f t="shared" si="10"/>
        <v>0</v>
      </c>
    </row>
    <row r="138" spans="15:25" x14ac:dyDescent="0.6">
      <c r="O138" s="92"/>
      <c r="P138" s="92"/>
      <c r="Q138" s="99"/>
      <c r="R138" s="100"/>
      <c r="S138" s="92"/>
      <c r="T138" s="92"/>
      <c r="U138" s="92"/>
      <c r="V138" s="94" t="str">
        <f t="shared" si="8"/>
        <v/>
      </c>
      <c r="W138" s="94">
        <f t="shared" si="9"/>
        <v>0</v>
      </c>
      <c r="X138" s="94" t="str">
        <f t="shared" si="11"/>
        <v/>
      </c>
      <c r="Y138" s="94">
        <f t="shared" si="10"/>
        <v>0</v>
      </c>
    </row>
    <row r="139" spans="15:25" x14ac:dyDescent="0.6">
      <c r="O139" s="92"/>
      <c r="P139" s="92"/>
      <c r="Q139" s="99"/>
      <c r="R139" s="100"/>
      <c r="S139" s="92"/>
      <c r="T139" s="92"/>
      <c r="U139" s="92"/>
      <c r="V139" s="94" t="str">
        <f t="shared" si="8"/>
        <v/>
      </c>
      <c r="W139" s="94">
        <f t="shared" si="9"/>
        <v>0</v>
      </c>
      <c r="X139" s="94" t="str">
        <f t="shared" si="11"/>
        <v/>
      </c>
      <c r="Y139" s="94">
        <f t="shared" si="10"/>
        <v>0</v>
      </c>
    </row>
    <row r="140" spans="15:25" x14ac:dyDescent="0.6">
      <c r="O140" s="92"/>
      <c r="P140" s="92"/>
      <c r="Q140" s="99"/>
      <c r="R140" s="100"/>
      <c r="S140" s="92"/>
      <c r="T140" s="92"/>
      <c r="U140" s="92"/>
      <c r="V140" s="94" t="str">
        <f t="shared" si="8"/>
        <v/>
      </c>
      <c r="W140" s="94">
        <f t="shared" si="9"/>
        <v>0</v>
      </c>
      <c r="X140" s="94" t="str">
        <f t="shared" si="11"/>
        <v/>
      </c>
      <c r="Y140" s="94">
        <f t="shared" si="10"/>
        <v>0</v>
      </c>
    </row>
    <row r="141" spans="15:25" x14ac:dyDescent="0.6">
      <c r="O141" s="92"/>
      <c r="P141" s="92"/>
      <c r="Q141" s="99"/>
      <c r="R141" s="100"/>
      <c r="S141" s="92"/>
      <c r="T141" s="92"/>
      <c r="U141" s="92"/>
      <c r="V141" s="94" t="str">
        <f t="shared" si="8"/>
        <v/>
      </c>
      <c r="W141" s="94">
        <f t="shared" si="9"/>
        <v>0</v>
      </c>
      <c r="X141" s="94" t="str">
        <f t="shared" si="11"/>
        <v/>
      </c>
      <c r="Y141" s="94">
        <f t="shared" si="10"/>
        <v>0</v>
      </c>
    </row>
    <row r="142" spans="15:25" x14ac:dyDescent="0.6">
      <c r="O142" s="92"/>
      <c r="P142" s="92"/>
      <c r="Q142" s="99"/>
      <c r="R142" s="100"/>
      <c r="S142" s="92"/>
      <c r="T142" s="92"/>
      <c r="U142" s="92"/>
      <c r="V142" s="94" t="str">
        <f t="shared" si="8"/>
        <v/>
      </c>
      <c r="W142" s="94">
        <f t="shared" si="9"/>
        <v>0</v>
      </c>
      <c r="X142" s="94" t="str">
        <f t="shared" si="11"/>
        <v/>
      </c>
      <c r="Y142" s="94">
        <f t="shared" si="10"/>
        <v>0</v>
      </c>
    </row>
    <row r="143" spans="15:25" x14ac:dyDescent="0.6">
      <c r="O143" s="92"/>
      <c r="P143" s="92"/>
      <c r="Q143" s="99"/>
      <c r="R143" s="100"/>
      <c r="S143" s="92"/>
      <c r="T143" s="92"/>
      <c r="U143" s="92"/>
      <c r="V143" s="94" t="str">
        <f t="shared" si="8"/>
        <v/>
      </c>
      <c r="W143" s="94">
        <f t="shared" si="9"/>
        <v>0</v>
      </c>
      <c r="X143" s="94" t="str">
        <f t="shared" si="11"/>
        <v/>
      </c>
      <c r="Y143" s="94">
        <f t="shared" si="10"/>
        <v>0</v>
      </c>
    </row>
    <row r="144" spans="15:25" x14ac:dyDescent="0.6">
      <c r="O144" s="92"/>
      <c r="P144" s="92"/>
      <c r="Q144" s="99"/>
      <c r="R144" s="100"/>
      <c r="S144" s="92"/>
      <c r="T144" s="92"/>
      <c r="U144" s="92"/>
      <c r="V144" s="94" t="str">
        <f t="shared" si="8"/>
        <v/>
      </c>
      <c r="W144" s="94">
        <f t="shared" si="9"/>
        <v>0</v>
      </c>
      <c r="X144" s="94" t="str">
        <f t="shared" si="11"/>
        <v/>
      </c>
      <c r="Y144" s="94">
        <f t="shared" si="10"/>
        <v>0</v>
      </c>
    </row>
    <row r="145" spans="15:25" x14ac:dyDescent="0.6">
      <c r="O145" s="92"/>
      <c r="P145" s="92"/>
      <c r="Q145" s="99"/>
      <c r="R145" s="100"/>
      <c r="S145" s="92"/>
      <c r="T145" s="92"/>
      <c r="U145" s="92"/>
      <c r="V145" s="94" t="str">
        <f t="shared" si="8"/>
        <v/>
      </c>
      <c r="W145" s="94">
        <f t="shared" si="9"/>
        <v>0</v>
      </c>
      <c r="X145" s="94" t="str">
        <f t="shared" si="11"/>
        <v/>
      </c>
      <c r="Y145" s="94">
        <f t="shared" si="10"/>
        <v>0</v>
      </c>
    </row>
    <row r="146" spans="15:25" x14ac:dyDescent="0.6">
      <c r="O146" s="92"/>
      <c r="P146" s="92"/>
      <c r="Q146" s="99"/>
      <c r="R146" s="100"/>
      <c r="S146" s="92"/>
      <c r="T146" s="92"/>
      <c r="U146" s="92"/>
      <c r="V146" s="94" t="str">
        <f t="shared" si="8"/>
        <v/>
      </c>
      <c r="W146" s="94">
        <f t="shared" si="9"/>
        <v>0</v>
      </c>
      <c r="X146" s="94" t="str">
        <f t="shared" si="11"/>
        <v/>
      </c>
      <c r="Y146" s="94">
        <f t="shared" si="10"/>
        <v>0</v>
      </c>
    </row>
    <row r="147" spans="15:25" x14ac:dyDescent="0.6">
      <c r="O147" s="92"/>
      <c r="P147" s="92"/>
      <c r="Q147" s="99"/>
      <c r="R147" s="100"/>
      <c r="S147" s="92"/>
      <c r="T147" s="92"/>
      <c r="U147" s="92"/>
      <c r="V147" s="94" t="str">
        <f t="shared" si="8"/>
        <v/>
      </c>
      <c r="W147" s="94">
        <f t="shared" si="9"/>
        <v>0</v>
      </c>
      <c r="X147" s="94" t="str">
        <f t="shared" si="11"/>
        <v/>
      </c>
      <c r="Y147" s="94">
        <f t="shared" si="10"/>
        <v>0</v>
      </c>
    </row>
    <row r="148" spans="15:25" x14ac:dyDescent="0.6">
      <c r="O148" s="92"/>
      <c r="P148" s="92"/>
      <c r="Q148" s="99"/>
      <c r="R148" s="100"/>
      <c r="S148" s="92"/>
      <c r="T148" s="92"/>
      <c r="U148" s="92"/>
      <c r="V148" s="94" t="str">
        <f t="shared" si="8"/>
        <v/>
      </c>
      <c r="W148" s="94">
        <f t="shared" si="9"/>
        <v>0</v>
      </c>
      <c r="X148" s="94" t="str">
        <f t="shared" si="11"/>
        <v/>
      </c>
      <c r="Y148" s="94">
        <f t="shared" si="10"/>
        <v>0</v>
      </c>
    </row>
    <row r="149" spans="15:25" x14ac:dyDescent="0.6">
      <c r="O149" s="92"/>
      <c r="P149" s="92"/>
      <c r="Q149" s="99"/>
      <c r="R149" s="100"/>
      <c r="S149" s="92"/>
      <c r="T149" s="92"/>
      <c r="U149" s="92"/>
      <c r="V149" s="94" t="str">
        <f t="shared" si="8"/>
        <v/>
      </c>
      <c r="W149" s="94">
        <f t="shared" si="9"/>
        <v>0</v>
      </c>
      <c r="X149" s="94" t="str">
        <f t="shared" si="11"/>
        <v/>
      </c>
      <c r="Y149" s="94">
        <f t="shared" si="10"/>
        <v>0</v>
      </c>
    </row>
    <row r="150" spans="15:25" x14ac:dyDescent="0.6">
      <c r="O150" s="92"/>
      <c r="P150" s="92"/>
      <c r="Q150" s="99"/>
      <c r="R150" s="100"/>
      <c r="S150" s="92"/>
      <c r="T150" s="92"/>
      <c r="U150" s="92"/>
      <c r="V150" s="94" t="str">
        <f t="shared" si="8"/>
        <v/>
      </c>
      <c r="W150" s="94">
        <f t="shared" si="9"/>
        <v>0</v>
      </c>
      <c r="X150" s="94" t="str">
        <f t="shared" si="11"/>
        <v/>
      </c>
      <c r="Y150" s="94">
        <f t="shared" si="10"/>
        <v>0</v>
      </c>
    </row>
    <row r="151" spans="15:25" x14ac:dyDescent="0.6">
      <c r="O151" s="92"/>
      <c r="P151" s="92"/>
      <c r="Q151" s="99"/>
      <c r="R151" s="100"/>
      <c r="S151" s="92"/>
      <c r="T151" s="92"/>
      <c r="U151" s="92"/>
      <c r="V151" s="94" t="str">
        <f t="shared" si="8"/>
        <v/>
      </c>
      <c r="W151" s="94">
        <f t="shared" si="9"/>
        <v>0</v>
      </c>
      <c r="X151" s="94" t="str">
        <f t="shared" si="11"/>
        <v/>
      </c>
      <c r="Y151" s="94">
        <f t="shared" si="10"/>
        <v>0</v>
      </c>
    </row>
    <row r="152" spans="15:25" x14ac:dyDescent="0.6">
      <c r="O152" s="92"/>
      <c r="P152" s="92"/>
      <c r="Q152" s="99"/>
      <c r="R152" s="100"/>
      <c r="S152" s="92"/>
      <c r="T152" s="92"/>
      <c r="U152" s="92"/>
      <c r="V152" s="94" t="str">
        <f t="shared" si="8"/>
        <v/>
      </c>
      <c r="W152" s="94">
        <f t="shared" si="9"/>
        <v>0</v>
      </c>
      <c r="X152" s="94" t="str">
        <f t="shared" si="11"/>
        <v/>
      </c>
      <c r="Y152" s="94">
        <f t="shared" si="10"/>
        <v>0</v>
      </c>
    </row>
    <row r="153" spans="15:25" x14ac:dyDescent="0.6">
      <c r="O153" s="92"/>
      <c r="P153" s="92"/>
      <c r="Q153" s="99"/>
      <c r="R153" s="100"/>
      <c r="S153" s="92"/>
      <c r="T153" s="92"/>
      <c r="U153" s="92"/>
      <c r="V153" s="94" t="str">
        <f t="shared" si="8"/>
        <v/>
      </c>
      <c r="W153" s="94">
        <f t="shared" si="9"/>
        <v>0</v>
      </c>
      <c r="X153" s="94" t="str">
        <f t="shared" si="11"/>
        <v/>
      </c>
      <c r="Y153" s="94">
        <f t="shared" si="10"/>
        <v>0</v>
      </c>
    </row>
    <row r="154" spans="15:25" x14ac:dyDescent="0.6">
      <c r="O154" s="92"/>
      <c r="P154" s="92"/>
      <c r="Q154" s="99"/>
      <c r="R154" s="100"/>
      <c r="S154" s="92"/>
      <c r="T154" s="92"/>
      <c r="U154" s="92"/>
      <c r="V154" s="94" t="str">
        <f t="shared" si="8"/>
        <v/>
      </c>
      <c r="W154" s="94">
        <f t="shared" si="9"/>
        <v>0</v>
      </c>
      <c r="X154" s="94" t="str">
        <f t="shared" si="11"/>
        <v/>
      </c>
      <c r="Y154" s="94">
        <f t="shared" si="10"/>
        <v>0</v>
      </c>
    </row>
    <row r="155" spans="15:25" x14ac:dyDescent="0.6">
      <c r="O155" s="92"/>
      <c r="P155" s="92"/>
      <c r="Q155" s="99"/>
      <c r="R155" s="100"/>
      <c r="S155" s="92"/>
      <c r="T155" s="92"/>
      <c r="U155" s="92"/>
      <c r="V155" s="94" t="str">
        <f t="shared" si="8"/>
        <v/>
      </c>
      <c r="W155" s="94">
        <f t="shared" si="9"/>
        <v>0</v>
      </c>
      <c r="X155" s="94" t="str">
        <f t="shared" si="11"/>
        <v/>
      </c>
      <c r="Y155" s="94">
        <f t="shared" si="10"/>
        <v>0</v>
      </c>
    </row>
    <row r="156" spans="15:25" x14ac:dyDescent="0.6">
      <c r="O156" s="92"/>
      <c r="P156" s="92"/>
      <c r="Q156" s="99"/>
      <c r="R156" s="100"/>
      <c r="S156" s="92"/>
      <c r="T156" s="92"/>
      <c r="U156" s="92"/>
      <c r="V156" s="94" t="str">
        <f t="shared" si="8"/>
        <v/>
      </c>
      <c r="W156" s="94">
        <f t="shared" si="9"/>
        <v>0</v>
      </c>
      <c r="X156" s="94" t="str">
        <f t="shared" si="11"/>
        <v/>
      </c>
      <c r="Y156" s="94">
        <f t="shared" si="10"/>
        <v>0</v>
      </c>
    </row>
    <row r="157" spans="15:25" x14ac:dyDescent="0.6">
      <c r="O157" s="92"/>
      <c r="P157" s="92"/>
      <c r="Q157" s="99"/>
      <c r="R157" s="100"/>
      <c r="S157" s="92"/>
      <c r="T157" s="92"/>
      <c r="U157" s="92"/>
      <c r="V157" s="94" t="str">
        <f t="shared" si="8"/>
        <v/>
      </c>
      <c r="W157" s="94">
        <f t="shared" si="9"/>
        <v>0</v>
      </c>
      <c r="X157" s="94" t="str">
        <f t="shared" si="11"/>
        <v/>
      </c>
      <c r="Y157" s="94">
        <f t="shared" si="10"/>
        <v>0</v>
      </c>
    </row>
    <row r="158" spans="15:25" x14ac:dyDescent="0.6">
      <c r="O158" s="92"/>
      <c r="P158" s="92"/>
      <c r="Q158" s="99"/>
      <c r="R158" s="100"/>
      <c r="S158" s="92"/>
      <c r="T158" s="92"/>
      <c r="U158" s="92"/>
      <c r="V158" s="94" t="str">
        <f t="shared" si="8"/>
        <v/>
      </c>
      <c r="W158" s="94">
        <f t="shared" si="9"/>
        <v>0</v>
      </c>
      <c r="X158" s="94" t="str">
        <f t="shared" si="11"/>
        <v/>
      </c>
      <c r="Y158" s="94">
        <f t="shared" si="10"/>
        <v>0</v>
      </c>
    </row>
    <row r="159" spans="15:25" x14ac:dyDescent="0.6">
      <c r="O159" s="92"/>
      <c r="P159" s="92"/>
      <c r="Q159" s="99"/>
      <c r="R159" s="100"/>
      <c r="S159" s="92"/>
      <c r="T159" s="92"/>
      <c r="U159" s="92"/>
      <c r="V159" s="94" t="str">
        <f t="shared" si="8"/>
        <v/>
      </c>
      <c r="W159" s="94">
        <f t="shared" si="9"/>
        <v>0</v>
      </c>
      <c r="X159" s="94" t="str">
        <f t="shared" si="11"/>
        <v/>
      </c>
      <c r="Y159" s="94">
        <f t="shared" si="10"/>
        <v>0</v>
      </c>
    </row>
    <row r="160" spans="15:25" x14ac:dyDescent="0.6">
      <c r="O160" s="92"/>
      <c r="P160" s="92"/>
      <c r="Q160" s="99"/>
      <c r="R160" s="100"/>
      <c r="S160" s="92"/>
      <c r="T160" s="92"/>
      <c r="U160" s="92"/>
      <c r="V160" s="94" t="str">
        <f t="shared" si="8"/>
        <v/>
      </c>
      <c r="W160" s="94">
        <f t="shared" si="9"/>
        <v>0</v>
      </c>
      <c r="X160" s="94" t="str">
        <f t="shared" si="11"/>
        <v/>
      </c>
      <c r="Y160" s="94">
        <f t="shared" si="10"/>
        <v>0</v>
      </c>
    </row>
    <row r="161" spans="15:25" x14ac:dyDescent="0.6">
      <c r="O161" s="92"/>
      <c r="P161" s="92"/>
      <c r="Q161" s="99"/>
      <c r="R161" s="100"/>
      <c r="S161" s="92"/>
      <c r="T161" s="92"/>
      <c r="U161" s="92"/>
      <c r="V161" s="94" t="str">
        <f t="shared" si="8"/>
        <v/>
      </c>
      <c r="W161" s="94">
        <f t="shared" si="9"/>
        <v>0</v>
      </c>
      <c r="X161" s="94" t="str">
        <f t="shared" si="11"/>
        <v/>
      </c>
      <c r="Y161" s="94">
        <f t="shared" si="10"/>
        <v>0</v>
      </c>
    </row>
    <row r="162" spans="15:25" x14ac:dyDescent="0.6">
      <c r="O162" s="92"/>
      <c r="P162" s="92"/>
      <c r="Q162" s="99"/>
      <c r="R162" s="100"/>
      <c r="S162" s="92"/>
      <c r="T162" s="92"/>
      <c r="U162" s="92"/>
      <c r="V162" s="94" t="str">
        <f t="shared" si="8"/>
        <v/>
      </c>
      <c r="W162" s="94">
        <f t="shared" si="9"/>
        <v>0</v>
      </c>
      <c r="X162" s="94" t="str">
        <f t="shared" si="11"/>
        <v/>
      </c>
      <c r="Y162" s="94">
        <f t="shared" si="10"/>
        <v>0</v>
      </c>
    </row>
    <row r="163" spans="15:25" x14ac:dyDescent="0.6">
      <c r="O163" s="92"/>
      <c r="P163" s="92"/>
      <c r="Q163" s="99"/>
      <c r="R163" s="100"/>
      <c r="S163" s="92"/>
      <c r="T163" s="92"/>
      <c r="U163" s="92"/>
      <c r="V163" s="94" t="str">
        <f t="shared" si="8"/>
        <v/>
      </c>
      <c r="W163" s="94">
        <f t="shared" si="9"/>
        <v>0</v>
      </c>
      <c r="X163" s="94" t="str">
        <f t="shared" si="11"/>
        <v/>
      </c>
      <c r="Y163" s="94">
        <f t="shared" si="10"/>
        <v>0</v>
      </c>
    </row>
    <row r="164" spans="15:25" x14ac:dyDescent="0.6">
      <c r="O164" s="92"/>
      <c r="P164" s="92"/>
      <c r="Q164" s="99"/>
      <c r="R164" s="100"/>
      <c r="S164" s="92"/>
      <c r="T164" s="92"/>
      <c r="U164" s="92"/>
      <c r="V164" s="94" t="str">
        <f t="shared" si="8"/>
        <v/>
      </c>
      <c r="W164" s="94">
        <f t="shared" si="9"/>
        <v>0</v>
      </c>
      <c r="X164" s="94" t="str">
        <f t="shared" si="11"/>
        <v/>
      </c>
      <c r="Y164" s="94">
        <f t="shared" si="10"/>
        <v>0</v>
      </c>
    </row>
    <row r="165" spans="15:25" x14ac:dyDescent="0.6">
      <c r="O165" s="92"/>
      <c r="P165" s="92"/>
      <c r="Q165" s="99"/>
      <c r="R165" s="100"/>
      <c r="S165" s="92"/>
      <c r="T165" s="92"/>
      <c r="U165" s="92"/>
      <c r="V165" s="94" t="str">
        <f t="shared" si="8"/>
        <v/>
      </c>
      <c r="W165" s="94">
        <f t="shared" si="9"/>
        <v>0</v>
      </c>
      <c r="X165" s="94" t="str">
        <f t="shared" si="11"/>
        <v/>
      </c>
      <c r="Y165" s="94">
        <f t="shared" si="10"/>
        <v>0</v>
      </c>
    </row>
    <row r="166" spans="15:25" x14ac:dyDescent="0.6">
      <c r="O166" s="92"/>
      <c r="P166" s="92"/>
      <c r="Q166" s="99"/>
      <c r="R166" s="100"/>
      <c r="S166" s="92"/>
      <c r="T166" s="92"/>
      <c r="U166" s="92"/>
      <c r="V166" s="94" t="str">
        <f t="shared" si="8"/>
        <v/>
      </c>
      <c r="W166" s="94">
        <f t="shared" si="9"/>
        <v>0</v>
      </c>
      <c r="X166" s="94" t="str">
        <f t="shared" si="11"/>
        <v/>
      </c>
      <c r="Y166" s="94">
        <f t="shared" si="10"/>
        <v>0</v>
      </c>
    </row>
    <row r="167" spans="15:25" x14ac:dyDescent="0.6">
      <c r="O167" s="92"/>
      <c r="P167" s="92"/>
      <c r="Q167" s="99"/>
      <c r="R167" s="100"/>
      <c r="S167" s="92"/>
      <c r="T167" s="92"/>
      <c r="U167" s="92"/>
      <c r="V167" s="94" t="str">
        <f t="shared" si="8"/>
        <v/>
      </c>
      <c r="W167" s="94">
        <f t="shared" si="9"/>
        <v>0</v>
      </c>
      <c r="X167" s="94" t="str">
        <f t="shared" si="11"/>
        <v/>
      </c>
      <c r="Y167" s="94">
        <f t="shared" si="10"/>
        <v>0</v>
      </c>
    </row>
    <row r="168" spans="15:25" x14ac:dyDescent="0.6">
      <c r="O168" s="92"/>
      <c r="P168" s="92"/>
      <c r="Q168" s="99"/>
      <c r="R168" s="100"/>
      <c r="S168" s="92"/>
      <c r="T168" s="92"/>
      <c r="U168" s="92"/>
      <c r="V168" s="94" t="str">
        <f t="shared" si="8"/>
        <v/>
      </c>
      <c r="W168" s="94">
        <f t="shared" si="9"/>
        <v>0</v>
      </c>
      <c r="X168" s="94" t="str">
        <f t="shared" si="11"/>
        <v/>
      </c>
      <c r="Y168" s="94">
        <f t="shared" si="10"/>
        <v>0</v>
      </c>
    </row>
    <row r="169" spans="15:25" x14ac:dyDescent="0.6">
      <c r="O169" s="92"/>
      <c r="P169" s="92"/>
      <c r="Q169" s="99"/>
      <c r="R169" s="100"/>
      <c r="S169" s="92"/>
      <c r="T169" s="92"/>
      <c r="U169" s="92"/>
      <c r="V169" s="94" t="str">
        <f t="shared" si="8"/>
        <v/>
      </c>
      <c r="W169" s="94">
        <f t="shared" si="9"/>
        <v>0</v>
      </c>
      <c r="X169" s="94" t="str">
        <f t="shared" si="11"/>
        <v/>
      </c>
      <c r="Y169" s="94">
        <f t="shared" si="10"/>
        <v>0</v>
      </c>
    </row>
    <row r="170" spans="15:25" x14ac:dyDescent="0.6">
      <c r="O170" s="92"/>
      <c r="P170" s="92"/>
      <c r="Q170" s="99"/>
      <c r="R170" s="100"/>
      <c r="S170" s="92"/>
      <c r="T170" s="92"/>
      <c r="U170" s="92"/>
      <c r="V170" s="94" t="str">
        <f t="shared" si="8"/>
        <v/>
      </c>
      <c r="W170" s="94">
        <f t="shared" si="9"/>
        <v>0</v>
      </c>
      <c r="X170" s="94" t="str">
        <f t="shared" si="11"/>
        <v/>
      </c>
      <c r="Y170" s="94">
        <f t="shared" si="10"/>
        <v>0</v>
      </c>
    </row>
    <row r="171" spans="15:25" x14ac:dyDescent="0.6">
      <c r="O171" s="92"/>
      <c r="P171" s="92"/>
      <c r="Q171" s="99"/>
      <c r="R171" s="100"/>
      <c r="S171" s="92"/>
      <c r="T171" s="92"/>
      <c r="U171" s="92"/>
      <c r="V171" s="94" t="str">
        <f t="shared" si="8"/>
        <v/>
      </c>
      <c r="W171" s="94">
        <f t="shared" si="9"/>
        <v>0</v>
      </c>
      <c r="X171" s="94" t="str">
        <f t="shared" si="11"/>
        <v/>
      </c>
      <c r="Y171" s="94">
        <f t="shared" si="10"/>
        <v>0</v>
      </c>
    </row>
    <row r="172" spans="15:25" x14ac:dyDescent="0.6">
      <c r="O172" s="92"/>
      <c r="P172" s="92"/>
      <c r="Q172" s="99"/>
      <c r="R172" s="100"/>
      <c r="S172" s="92"/>
      <c r="T172" s="92"/>
      <c r="U172" s="92"/>
      <c r="V172" s="94" t="str">
        <f t="shared" si="8"/>
        <v/>
      </c>
      <c r="W172" s="94">
        <f t="shared" si="9"/>
        <v>0</v>
      </c>
      <c r="X172" s="94" t="str">
        <f t="shared" si="11"/>
        <v/>
      </c>
      <c r="Y172" s="94">
        <f t="shared" si="10"/>
        <v>0</v>
      </c>
    </row>
    <row r="173" spans="15:25" x14ac:dyDescent="0.6">
      <c r="O173" s="92"/>
      <c r="P173" s="92"/>
      <c r="Q173" s="99"/>
      <c r="R173" s="100"/>
      <c r="S173" s="92"/>
      <c r="T173" s="92"/>
      <c r="U173" s="92"/>
      <c r="V173" s="94" t="str">
        <f t="shared" si="8"/>
        <v/>
      </c>
      <c r="W173" s="94">
        <f t="shared" si="9"/>
        <v>0</v>
      </c>
      <c r="X173" s="94" t="str">
        <f t="shared" si="11"/>
        <v/>
      </c>
      <c r="Y173" s="94">
        <f t="shared" si="10"/>
        <v>0</v>
      </c>
    </row>
    <row r="174" spans="15:25" x14ac:dyDescent="0.6">
      <c r="O174" s="92"/>
      <c r="P174" s="92"/>
      <c r="Q174" s="99"/>
      <c r="R174" s="100"/>
      <c r="S174" s="92"/>
      <c r="T174" s="92"/>
      <c r="U174" s="92"/>
      <c r="V174" s="94" t="str">
        <f t="shared" si="8"/>
        <v/>
      </c>
      <c r="W174" s="94">
        <f t="shared" si="9"/>
        <v>0</v>
      </c>
      <c r="X174" s="94" t="str">
        <f t="shared" si="11"/>
        <v/>
      </c>
      <c r="Y174" s="94">
        <f t="shared" si="10"/>
        <v>0</v>
      </c>
    </row>
    <row r="175" spans="15:25" x14ac:dyDescent="0.6">
      <c r="O175" s="92"/>
      <c r="P175" s="92"/>
      <c r="Q175" s="99"/>
      <c r="R175" s="100"/>
      <c r="S175" s="92"/>
      <c r="T175" s="92"/>
      <c r="U175" s="92"/>
      <c r="V175" s="94" t="str">
        <f t="shared" si="8"/>
        <v/>
      </c>
      <c r="W175" s="94">
        <f t="shared" si="9"/>
        <v>0</v>
      </c>
      <c r="X175" s="94" t="str">
        <f t="shared" si="11"/>
        <v/>
      </c>
      <c r="Y175" s="94">
        <f t="shared" si="10"/>
        <v>0</v>
      </c>
    </row>
    <row r="176" spans="15:25" x14ac:dyDescent="0.6">
      <c r="O176" s="92"/>
      <c r="P176" s="92"/>
      <c r="Q176" s="99"/>
      <c r="R176" s="100"/>
      <c r="S176" s="92"/>
      <c r="T176" s="92"/>
      <c r="U176" s="92"/>
      <c r="V176" s="94" t="str">
        <f t="shared" si="8"/>
        <v/>
      </c>
      <c r="W176" s="94">
        <f t="shared" si="9"/>
        <v>0</v>
      </c>
      <c r="X176" s="94" t="str">
        <f t="shared" si="11"/>
        <v/>
      </c>
      <c r="Y176" s="94">
        <f t="shared" si="10"/>
        <v>0</v>
      </c>
    </row>
    <row r="177" spans="15:25" x14ac:dyDescent="0.6">
      <c r="O177" s="92"/>
      <c r="P177" s="92"/>
      <c r="Q177" s="99"/>
      <c r="R177" s="100"/>
      <c r="S177" s="92"/>
      <c r="T177" s="92"/>
      <c r="U177" s="92"/>
      <c r="V177" s="94" t="str">
        <f t="shared" si="8"/>
        <v/>
      </c>
      <c r="W177" s="94">
        <f t="shared" si="9"/>
        <v>0</v>
      </c>
      <c r="X177" s="94" t="str">
        <f t="shared" si="11"/>
        <v/>
      </c>
      <c r="Y177" s="94">
        <f t="shared" si="10"/>
        <v>0</v>
      </c>
    </row>
    <row r="178" spans="15:25" x14ac:dyDescent="0.6">
      <c r="O178" s="92"/>
      <c r="P178" s="92"/>
      <c r="Q178" s="99"/>
      <c r="R178" s="100"/>
      <c r="S178" s="92"/>
      <c r="T178" s="92"/>
      <c r="U178" s="92"/>
      <c r="V178" s="94" t="str">
        <f t="shared" si="8"/>
        <v/>
      </c>
      <c r="W178" s="94">
        <f t="shared" si="9"/>
        <v>0</v>
      </c>
      <c r="X178" s="94" t="str">
        <f t="shared" si="11"/>
        <v/>
      </c>
      <c r="Y178" s="94">
        <f t="shared" si="10"/>
        <v>0</v>
      </c>
    </row>
    <row r="179" spans="15:25" x14ac:dyDescent="0.6">
      <c r="O179" s="92"/>
      <c r="P179" s="92"/>
      <c r="Q179" s="99"/>
      <c r="R179" s="100"/>
      <c r="S179" s="92"/>
      <c r="T179" s="92"/>
      <c r="U179" s="92"/>
      <c r="V179" s="94" t="str">
        <f t="shared" si="8"/>
        <v/>
      </c>
      <c r="W179" s="94">
        <f t="shared" si="9"/>
        <v>0</v>
      </c>
      <c r="X179" s="94" t="str">
        <f t="shared" si="11"/>
        <v/>
      </c>
      <c r="Y179" s="94">
        <f t="shared" si="10"/>
        <v>0</v>
      </c>
    </row>
    <row r="180" spans="15:25" x14ac:dyDescent="0.6">
      <c r="O180" s="92"/>
      <c r="P180" s="92"/>
      <c r="Q180" s="99"/>
      <c r="R180" s="100"/>
      <c r="S180" s="92"/>
      <c r="T180" s="92"/>
      <c r="U180" s="92"/>
      <c r="V180" s="94" t="str">
        <f t="shared" si="8"/>
        <v/>
      </c>
      <c r="W180" s="94">
        <f t="shared" si="9"/>
        <v>0</v>
      </c>
      <c r="X180" s="94" t="str">
        <f t="shared" si="11"/>
        <v/>
      </c>
      <c r="Y180" s="94">
        <f t="shared" si="10"/>
        <v>0</v>
      </c>
    </row>
    <row r="181" spans="15:25" x14ac:dyDescent="0.6">
      <c r="O181" s="92"/>
      <c r="P181" s="92"/>
      <c r="Q181" s="99"/>
      <c r="R181" s="100"/>
      <c r="S181" s="92"/>
      <c r="T181" s="92"/>
      <c r="U181" s="92"/>
      <c r="V181" s="94" t="str">
        <f t="shared" si="8"/>
        <v/>
      </c>
      <c r="W181" s="94">
        <f t="shared" si="9"/>
        <v>0</v>
      </c>
      <c r="X181" s="94" t="str">
        <f t="shared" si="11"/>
        <v/>
      </c>
      <c r="Y181" s="94">
        <f t="shared" si="10"/>
        <v>0</v>
      </c>
    </row>
    <row r="182" spans="15:25" x14ac:dyDescent="0.6">
      <c r="O182" s="92"/>
      <c r="P182" s="92"/>
      <c r="Q182" s="99"/>
      <c r="R182" s="100"/>
      <c r="S182" s="92"/>
      <c r="T182" s="92"/>
      <c r="U182" s="92"/>
      <c r="V182" s="94" t="str">
        <f t="shared" si="8"/>
        <v/>
      </c>
      <c r="W182" s="94">
        <f t="shared" si="9"/>
        <v>0</v>
      </c>
      <c r="X182" s="94" t="str">
        <f t="shared" si="11"/>
        <v/>
      </c>
      <c r="Y182" s="94">
        <f t="shared" si="10"/>
        <v>0</v>
      </c>
    </row>
    <row r="183" spans="15:25" x14ac:dyDescent="0.6">
      <c r="O183" s="92"/>
      <c r="P183" s="92"/>
      <c r="Q183" s="99"/>
      <c r="R183" s="100"/>
      <c r="S183" s="92"/>
      <c r="T183" s="92"/>
      <c r="U183" s="92"/>
      <c r="V183" s="94" t="str">
        <f t="shared" si="8"/>
        <v/>
      </c>
      <c r="W183" s="94">
        <f t="shared" si="9"/>
        <v>0</v>
      </c>
      <c r="X183" s="94" t="str">
        <f t="shared" si="11"/>
        <v/>
      </c>
      <c r="Y183" s="94">
        <f t="shared" si="10"/>
        <v>0</v>
      </c>
    </row>
    <row r="184" spans="15:25" x14ac:dyDescent="0.6">
      <c r="O184" s="92"/>
      <c r="P184" s="92"/>
      <c r="Q184" s="99"/>
      <c r="R184" s="100"/>
      <c r="S184" s="92"/>
      <c r="T184" s="92"/>
      <c r="U184" s="92"/>
      <c r="V184" s="94" t="str">
        <f t="shared" si="8"/>
        <v/>
      </c>
      <c r="W184" s="94">
        <f t="shared" si="9"/>
        <v>0</v>
      </c>
      <c r="X184" s="94" t="str">
        <f t="shared" si="11"/>
        <v/>
      </c>
      <c r="Y184" s="94">
        <f t="shared" si="10"/>
        <v>0</v>
      </c>
    </row>
    <row r="185" spans="15:25" x14ac:dyDescent="0.6">
      <c r="O185" s="92"/>
      <c r="P185" s="92"/>
      <c r="Q185" s="99"/>
      <c r="R185" s="100"/>
      <c r="S185" s="92"/>
      <c r="T185" s="92"/>
      <c r="U185" s="92"/>
      <c r="V185" s="94" t="str">
        <f t="shared" si="8"/>
        <v/>
      </c>
      <c r="W185" s="94">
        <f t="shared" si="9"/>
        <v>0</v>
      </c>
      <c r="X185" s="94" t="str">
        <f t="shared" si="11"/>
        <v/>
      </c>
      <c r="Y185" s="94">
        <f t="shared" si="10"/>
        <v>0</v>
      </c>
    </row>
    <row r="186" spans="15:25" x14ac:dyDescent="0.6">
      <c r="O186" s="92"/>
      <c r="P186" s="92"/>
      <c r="Q186" s="99"/>
      <c r="R186" s="100"/>
      <c r="S186" s="92"/>
      <c r="T186" s="92"/>
      <c r="U186" s="92"/>
      <c r="V186" s="94" t="str">
        <f t="shared" si="8"/>
        <v/>
      </c>
      <c r="W186" s="94">
        <f t="shared" si="9"/>
        <v>0</v>
      </c>
      <c r="X186" s="94" t="str">
        <f t="shared" si="11"/>
        <v/>
      </c>
      <c r="Y186" s="94">
        <f t="shared" si="10"/>
        <v>0</v>
      </c>
    </row>
    <row r="187" spans="15:25" x14ac:dyDescent="0.6">
      <c r="O187" s="92"/>
      <c r="P187" s="92"/>
      <c r="Q187" s="99"/>
      <c r="R187" s="100"/>
      <c r="S187" s="92"/>
      <c r="T187" s="92"/>
      <c r="U187" s="92"/>
      <c r="V187" s="94" t="str">
        <f t="shared" si="8"/>
        <v/>
      </c>
      <c r="W187" s="94">
        <f t="shared" si="9"/>
        <v>0</v>
      </c>
      <c r="X187" s="94" t="str">
        <f t="shared" si="11"/>
        <v/>
      </c>
      <c r="Y187" s="94">
        <f t="shared" si="10"/>
        <v>0</v>
      </c>
    </row>
    <row r="188" spans="15:25" x14ac:dyDescent="0.6">
      <c r="O188" s="92"/>
      <c r="P188" s="92"/>
      <c r="Q188" s="99"/>
      <c r="R188" s="100"/>
      <c r="S188" s="92"/>
      <c r="T188" s="92"/>
      <c r="U188" s="92"/>
      <c r="V188" s="94" t="str">
        <f t="shared" si="8"/>
        <v/>
      </c>
      <c r="W188" s="94">
        <f t="shared" si="9"/>
        <v>0</v>
      </c>
      <c r="X188" s="94" t="str">
        <f t="shared" si="11"/>
        <v/>
      </c>
      <c r="Y188" s="94">
        <f t="shared" si="10"/>
        <v>0</v>
      </c>
    </row>
    <row r="189" spans="15:25" x14ac:dyDescent="0.6">
      <c r="O189" s="92"/>
      <c r="P189" s="92"/>
      <c r="Q189" s="99"/>
      <c r="R189" s="100"/>
      <c r="S189" s="92"/>
      <c r="T189" s="92"/>
      <c r="U189" s="92"/>
      <c r="V189" s="94" t="str">
        <f t="shared" si="8"/>
        <v/>
      </c>
      <c r="W189" s="94">
        <f t="shared" si="9"/>
        <v>0</v>
      </c>
      <c r="X189" s="94" t="str">
        <f t="shared" si="11"/>
        <v/>
      </c>
      <c r="Y189" s="94">
        <f t="shared" si="10"/>
        <v>0</v>
      </c>
    </row>
    <row r="190" spans="15:25" x14ac:dyDescent="0.6">
      <c r="O190" s="92"/>
      <c r="P190" s="92"/>
      <c r="Q190" s="99"/>
      <c r="R190" s="100"/>
      <c r="S190" s="92"/>
      <c r="T190" s="92"/>
      <c r="U190" s="92"/>
      <c r="V190" s="94" t="str">
        <f t="shared" si="8"/>
        <v/>
      </c>
      <c r="W190" s="94">
        <f t="shared" si="9"/>
        <v>0</v>
      </c>
      <c r="X190" s="94" t="str">
        <f t="shared" si="11"/>
        <v/>
      </c>
      <c r="Y190" s="94">
        <f t="shared" si="10"/>
        <v>0</v>
      </c>
    </row>
    <row r="191" spans="15:25" x14ac:dyDescent="0.6">
      <c r="O191" s="92"/>
      <c r="P191" s="92"/>
      <c r="Q191" s="99"/>
      <c r="R191" s="100"/>
      <c r="S191" s="92"/>
      <c r="T191" s="92"/>
      <c r="U191" s="92"/>
      <c r="V191" s="94" t="str">
        <f t="shared" si="8"/>
        <v/>
      </c>
      <c r="W191" s="94">
        <f t="shared" si="9"/>
        <v>0</v>
      </c>
      <c r="X191" s="94" t="str">
        <f t="shared" si="11"/>
        <v/>
      </c>
      <c r="Y191" s="94">
        <f t="shared" si="10"/>
        <v>0</v>
      </c>
    </row>
    <row r="192" spans="15:25" x14ac:dyDescent="0.6">
      <c r="O192" s="92"/>
      <c r="P192" s="92"/>
      <c r="Q192" s="99"/>
      <c r="R192" s="100"/>
      <c r="S192" s="92"/>
      <c r="T192" s="92"/>
      <c r="U192" s="92"/>
      <c r="V192" s="94" t="str">
        <f t="shared" si="8"/>
        <v/>
      </c>
      <c r="W192" s="94">
        <f t="shared" si="9"/>
        <v>0</v>
      </c>
      <c r="X192" s="94" t="str">
        <f t="shared" si="11"/>
        <v/>
      </c>
      <c r="Y192" s="94">
        <f t="shared" si="10"/>
        <v>0</v>
      </c>
    </row>
    <row r="193" spans="15:25" x14ac:dyDescent="0.6">
      <c r="O193" s="92"/>
      <c r="P193" s="92"/>
      <c r="Q193" s="99"/>
      <c r="R193" s="100"/>
      <c r="S193" s="92"/>
      <c r="T193" s="92"/>
      <c r="U193" s="92"/>
      <c r="V193" s="94" t="str">
        <f t="shared" si="8"/>
        <v/>
      </c>
      <c r="W193" s="94">
        <f t="shared" si="9"/>
        <v>0</v>
      </c>
      <c r="X193" s="94" t="str">
        <f t="shared" si="11"/>
        <v/>
      </c>
      <c r="Y193" s="94">
        <f t="shared" si="10"/>
        <v>0</v>
      </c>
    </row>
    <row r="194" spans="15:25" x14ac:dyDescent="0.6">
      <c r="O194" s="92"/>
      <c r="P194" s="92"/>
      <c r="Q194" s="99"/>
      <c r="R194" s="100"/>
      <c r="S194" s="92"/>
      <c r="T194" s="92"/>
      <c r="U194" s="92"/>
      <c r="V194" s="94" t="str">
        <f t="shared" si="8"/>
        <v/>
      </c>
      <c r="W194" s="94">
        <f t="shared" si="9"/>
        <v>0</v>
      </c>
      <c r="X194" s="94" t="str">
        <f t="shared" si="11"/>
        <v/>
      </c>
      <c r="Y194" s="94">
        <f t="shared" si="10"/>
        <v>0</v>
      </c>
    </row>
    <row r="195" spans="15:25" x14ac:dyDescent="0.6">
      <c r="O195" s="92"/>
      <c r="P195" s="92"/>
      <c r="Q195" s="99"/>
      <c r="R195" s="100"/>
      <c r="S195" s="92"/>
      <c r="T195" s="92"/>
      <c r="U195" s="92"/>
      <c r="V195" s="94" t="str">
        <f t="shared" si="8"/>
        <v/>
      </c>
      <c r="W195" s="94">
        <f t="shared" si="9"/>
        <v>0</v>
      </c>
      <c r="X195" s="94" t="str">
        <f t="shared" si="11"/>
        <v/>
      </c>
      <c r="Y195" s="94">
        <f t="shared" si="10"/>
        <v>0</v>
      </c>
    </row>
    <row r="196" spans="15:25" x14ac:dyDescent="0.6">
      <c r="O196" s="92"/>
      <c r="P196" s="92"/>
      <c r="Q196" s="99"/>
      <c r="R196" s="100"/>
      <c r="S196" s="92"/>
      <c r="T196" s="92"/>
      <c r="U196" s="92"/>
      <c r="V196" s="94" t="str">
        <f t="shared" si="8"/>
        <v/>
      </c>
      <c r="W196" s="94">
        <f t="shared" si="9"/>
        <v>0</v>
      </c>
      <c r="X196" s="94" t="str">
        <f t="shared" si="11"/>
        <v/>
      </c>
      <c r="Y196" s="94">
        <f t="shared" si="10"/>
        <v>0</v>
      </c>
    </row>
    <row r="197" spans="15:25" x14ac:dyDescent="0.6">
      <c r="O197" s="92"/>
      <c r="P197" s="92"/>
      <c r="Q197" s="99"/>
      <c r="R197" s="100"/>
      <c r="S197" s="92"/>
      <c r="T197" s="92"/>
      <c r="U197" s="92"/>
      <c r="V197" s="94" t="str">
        <f t="shared" ref="V197:V260" si="12">IF(B197&lt;&gt;"",V196+1,"")</f>
        <v/>
      </c>
      <c r="W197" s="94">
        <f t="shared" ref="W197:W260" si="13">IFERROR(IF(ISEVEN(V197)=FALSE,0,1),0)</f>
        <v>0</v>
      </c>
      <c r="X197" s="94" t="str">
        <f t="shared" si="11"/>
        <v/>
      </c>
      <c r="Y197" s="94">
        <f t="shared" ref="Y197:Y260" si="14">IFERROR(IF(ISEVEN(X197)=FALSE,0,1),0)</f>
        <v>0</v>
      </c>
    </row>
    <row r="198" spans="15:25" x14ac:dyDescent="0.6">
      <c r="O198" s="92"/>
      <c r="P198" s="92"/>
      <c r="Q198" s="99"/>
      <c r="R198" s="100"/>
      <c r="S198" s="92"/>
      <c r="T198" s="92"/>
      <c r="U198" s="92"/>
      <c r="V198" s="94" t="str">
        <f t="shared" si="12"/>
        <v/>
      </c>
      <c r="W198" s="94">
        <f t="shared" si="13"/>
        <v>0</v>
      </c>
      <c r="X198" s="94" t="str">
        <f t="shared" ref="X198:X261" si="15">IF(O198&lt;&gt;"",X197+1,"")</f>
        <v/>
      </c>
      <c r="Y198" s="94">
        <f t="shared" si="14"/>
        <v>0</v>
      </c>
    </row>
    <row r="199" spans="15:25" x14ac:dyDescent="0.6">
      <c r="O199" s="92"/>
      <c r="P199" s="92"/>
      <c r="Q199" s="99"/>
      <c r="R199" s="100"/>
      <c r="S199" s="92"/>
      <c r="T199" s="92"/>
      <c r="U199" s="92"/>
      <c r="V199" s="94" t="str">
        <f t="shared" si="12"/>
        <v/>
      </c>
      <c r="W199" s="94">
        <f t="shared" si="13"/>
        <v>0</v>
      </c>
      <c r="X199" s="94" t="str">
        <f t="shared" si="15"/>
        <v/>
      </c>
      <c r="Y199" s="94">
        <f t="shared" si="14"/>
        <v>0</v>
      </c>
    </row>
    <row r="200" spans="15:25" x14ac:dyDescent="0.6">
      <c r="O200" s="92"/>
      <c r="P200" s="92"/>
      <c r="Q200" s="99"/>
      <c r="R200" s="100"/>
      <c r="S200" s="92"/>
      <c r="T200" s="92"/>
      <c r="U200" s="92"/>
      <c r="V200" s="94" t="str">
        <f t="shared" si="12"/>
        <v/>
      </c>
      <c r="W200" s="94">
        <f t="shared" si="13"/>
        <v>0</v>
      </c>
      <c r="X200" s="94" t="str">
        <f t="shared" si="15"/>
        <v/>
      </c>
      <c r="Y200" s="94">
        <f t="shared" si="14"/>
        <v>0</v>
      </c>
    </row>
    <row r="201" spans="15:25" x14ac:dyDescent="0.6">
      <c r="V201" s="94" t="str">
        <f t="shared" si="12"/>
        <v/>
      </c>
      <c r="W201" s="94">
        <f t="shared" si="13"/>
        <v>0</v>
      </c>
      <c r="X201" s="94" t="str">
        <f t="shared" si="15"/>
        <v/>
      </c>
      <c r="Y201" s="94">
        <f t="shared" si="14"/>
        <v>0</v>
      </c>
    </row>
    <row r="202" spans="15:25" x14ac:dyDescent="0.6">
      <c r="V202" s="94" t="str">
        <f t="shared" si="12"/>
        <v/>
      </c>
      <c r="W202" s="94">
        <f t="shared" si="13"/>
        <v>0</v>
      </c>
      <c r="X202" s="94" t="str">
        <f t="shared" si="15"/>
        <v/>
      </c>
      <c r="Y202" s="94">
        <f t="shared" si="14"/>
        <v>0</v>
      </c>
    </row>
    <row r="203" spans="15:25" x14ac:dyDescent="0.6">
      <c r="V203" s="94" t="str">
        <f t="shared" si="12"/>
        <v/>
      </c>
      <c r="W203" s="94">
        <f t="shared" si="13"/>
        <v>0</v>
      </c>
      <c r="X203" s="94" t="str">
        <f t="shared" si="15"/>
        <v/>
      </c>
      <c r="Y203" s="94">
        <f t="shared" si="14"/>
        <v>0</v>
      </c>
    </row>
    <row r="204" spans="15:25" x14ac:dyDescent="0.6">
      <c r="V204" s="94" t="str">
        <f t="shared" si="12"/>
        <v/>
      </c>
      <c r="W204" s="94">
        <f t="shared" si="13"/>
        <v>0</v>
      </c>
      <c r="X204" s="94" t="str">
        <f t="shared" si="15"/>
        <v/>
      </c>
      <c r="Y204" s="94">
        <f t="shared" si="14"/>
        <v>0</v>
      </c>
    </row>
    <row r="205" spans="15:25" x14ac:dyDescent="0.6">
      <c r="V205" s="94" t="str">
        <f t="shared" si="12"/>
        <v/>
      </c>
      <c r="W205" s="94">
        <f t="shared" si="13"/>
        <v>0</v>
      </c>
      <c r="X205" s="94" t="str">
        <f t="shared" si="15"/>
        <v/>
      </c>
      <c r="Y205" s="94">
        <f t="shared" si="14"/>
        <v>0</v>
      </c>
    </row>
    <row r="206" spans="15:25" x14ac:dyDescent="0.6">
      <c r="V206" s="94" t="str">
        <f t="shared" si="12"/>
        <v/>
      </c>
      <c r="W206" s="94">
        <f t="shared" si="13"/>
        <v>0</v>
      </c>
      <c r="X206" s="94" t="str">
        <f t="shared" si="15"/>
        <v/>
      </c>
      <c r="Y206" s="94">
        <f t="shared" si="14"/>
        <v>0</v>
      </c>
    </row>
    <row r="207" spans="15:25" x14ac:dyDescent="0.6">
      <c r="V207" s="94" t="str">
        <f t="shared" si="12"/>
        <v/>
      </c>
      <c r="W207" s="94">
        <f t="shared" si="13"/>
        <v>0</v>
      </c>
      <c r="X207" s="94" t="str">
        <f t="shared" si="15"/>
        <v/>
      </c>
      <c r="Y207" s="94">
        <f t="shared" si="14"/>
        <v>0</v>
      </c>
    </row>
    <row r="208" spans="15:25" x14ac:dyDescent="0.6">
      <c r="V208" s="94" t="str">
        <f t="shared" si="12"/>
        <v/>
      </c>
      <c r="W208" s="94">
        <f t="shared" si="13"/>
        <v>0</v>
      </c>
      <c r="X208" s="94" t="str">
        <f t="shared" si="15"/>
        <v/>
      </c>
      <c r="Y208" s="94">
        <f t="shared" si="14"/>
        <v>0</v>
      </c>
    </row>
    <row r="209" spans="22:25" x14ac:dyDescent="0.6">
      <c r="V209" s="94" t="str">
        <f t="shared" si="12"/>
        <v/>
      </c>
      <c r="W209" s="94">
        <f t="shared" si="13"/>
        <v>0</v>
      </c>
      <c r="X209" s="94" t="str">
        <f t="shared" si="15"/>
        <v/>
      </c>
      <c r="Y209" s="94">
        <f t="shared" si="14"/>
        <v>0</v>
      </c>
    </row>
    <row r="210" spans="22:25" x14ac:dyDescent="0.6">
      <c r="V210" s="94" t="str">
        <f t="shared" si="12"/>
        <v/>
      </c>
      <c r="W210" s="94">
        <f t="shared" si="13"/>
        <v>0</v>
      </c>
      <c r="X210" s="94" t="str">
        <f t="shared" si="15"/>
        <v/>
      </c>
      <c r="Y210" s="94">
        <f t="shared" si="14"/>
        <v>0</v>
      </c>
    </row>
    <row r="211" spans="22:25" x14ac:dyDescent="0.6">
      <c r="V211" s="94" t="str">
        <f t="shared" si="12"/>
        <v/>
      </c>
      <c r="W211" s="94">
        <f t="shared" si="13"/>
        <v>0</v>
      </c>
      <c r="X211" s="94" t="str">
        <f t="shared" si="15"/>
        <v/>
      </c>
      <c r="Y211" s="94">
        <f t="shared" si="14"/>
        <v>0</v>
      </c>
    </row>
    <row r="212" spans="22:25" x14ac:dyDescent="0.6">
      <c r="V212" s="94" t="str">
        <f t="shared" si="12"/>
        <v/>
      </c>
      <c r="W212" s="94">
        <f t="shared" si="13"/>
        <v>0</v>
      </c>
      <c r="X212" s="94" t="str">
        <f t="shared" si="15"/>
        <v/>
      </c>
      <c r="Y212" s="94">
        <f t="shared" si="14"/>
        <v>0</v>
      </c>
    </row>
    <row r="213" spans="22:25" x14ac:dyDescent="0.6">
      <c r="V213" s="94" t="str">
        <f t="shared" si="12"/>
        <v/>
      </c>
      <c r="W213" s="94">
        <f t="shared" si="13"/>
        <v>0</v>
      </c>
      <c r="X213" s="94" t="str">
        <f t="shared" si="15"/>
        <v/>
      </c>
      <c r="Y213" s="94">
        <f t="shared" si="14"/>
        <v>0</v>
      </c>
    </row>
    <row r="214" spans="22:25" x14ac:dyDescent="0.6">
      <c r="V214" s="94" t="str">
        <f t="shared" si="12"/>
        <v/>
      </c>
      <c r="W214" s="94">
        <f t="shared" si="13"/>
        <v>0</v>
      </c>
      <c r="X214" s="94" t="str">
        <f t="shared" si="15"/>
        <v/>
      </c>
      <c r="Y214" s="94">
        <f t="shared" si="14"/>
        <v>0</v>
      </c>
    </row>
    <row r="215" spans="22:25" x14ac:dyDescent="0.6">
      <c r="V215" s="94" t="str">
        <f t="shared" si="12"/>
        <v/>
      </c>
      <c r="W215" s="94">
        <f t="shared" si="13"/>
        <v>0</v>
      </c>
      <c r="X215" s="94" t="str">
        <f t="shared" si="15"/>
        <v/>
      </c>
      <c r="Y215" s="94">
        <f t="shared" si="14"/>
        <v>0</v>
      </c>
    </row>
    <row r="216" spans="22:25" x14ac:dyDescent="0.6">
      <c r="V216" s="94" t="str">
        <f t="shared" si="12"/>
        <v/>
      </c>
      <c r="W216" s="94">
        <f t="shared" si="13"/>
        <v>0</v>
      </c>
      <c r="X216" s="94" t="str">
        <f t="shared" si="15"/>
        <v/>
      </c>
      <c r="Y216" s="94">
        <f t="shared" si="14"/>
        <v>0</v>
      </c>
    </row>
    <row r="217" spans="22:25" x14ac:dyDescent="0.6">
      <c r="V217" s="94" t="str">
        <f t="shared" si="12"/>
        <v/>
      </c>
      <c r="W217" s="94">
        <f t="shared" si="13"/>
        <v>0</v>
      </c>
      <c r="X217" s="94" t="str">
        <f t="shared" si="15"/>
        <v/>
      </c>
      <c r="Y217" s="94">
        <f t="shared" si="14"/>
        <v>0</v>
      </c>
    </row>
    <row r="218" spans="22:25" x14ac:dyDescent="0.6">
      <c r="V218" s="94" t="str">
        <f t="shared" si="12"/>
        <v/>
      </c>
      <c r="W218" s="94">
        <f t="shared" si="13"/>
        <v>0</v>
      </c>
      <c r="X218" s="94" t="str">
        <f t="shared" si="15"/>
        <v/>
      </c>
      <c r="Y218" s="94">
        <f t="shared" si="14"/>
        <v>0</v>
      </c>
    </row>
    <row r="219" spans="22:25" x14ac:dyDescent="0.6">
      <c r="V219" s="94" t="str">
        <f t="shared" si="12"/>
        <v/>
      </c>
      <c r="W219" s="94">
        <f t="shared" si="13"/>
        <v>0</v>
      </c>
      <c r="X219" s="94" t="str">
        <f t="shared" si="15"/>
        <v/>
      </c>
      <c r="Y219" s="94">
        <f t="shared" si="14"/>
        <v>0</v>
      </c>
    </row>
    <row r="220" spans="22:25" x14ac:dyDescent="0.6">
      <c r="V220" s="94" t="str">
        <f t="shared" si="12"/>
        <v/>
      </c>
      <c r="W220" s="94">
        <f t="shared" si="13"/>
        <v>0</v>
      </c>
      <c r="X220" s="94" t="str">
        <f t="shared" si="15"/>
        <v/>
      </c>
      <c r="Y220" s="94">
        <f t="shared" si="14"/>
        <v>0</v>
      </c>
    </row>
    <row r="221" spans="22:25" x14ac:dyDescent="0.6">
      <c r="V221" s="94" t="str">
        <f t="shared" si="12"/>
        <v/>
      </c>
      <c r="W221" s="94">
        <f t="shared" si="13"/>
        <v>0</v>
      </c>
      <c r="X221" s="94" t="str">
        <f t="shared" si="15"/>
        <v/>
      </c>
      <c r="Y221" s="94">
        <f t="shared" si="14"/>
        <v>0</v>
      </c>
    </row>
    <row r="222" spans="22:25" x14ac:dyDescent="0.6">
      <c r="V222" s="94" t="str">
        <f t="shared" si="12"/>
        <v/>
      </c>
      <c r="W222" s="94">
        <f t="shared" si="13"/>
        <v>0</v>
      </c>
      <c r="X222" s="94" t="str">
        <f t="shared" si="15"/>
        <v/>
      </c>
      <c r="Y222" s="94">
        <f t="shared" si="14"/>
        <v>0</v>
      </c>
    </row>
    <row r="223" spans="22:25" x14ac:dyDescent="0.6">
      <c r="V223" s="94" t="str">
        <f t="shared" si="12"/>
        <v/>
      </c>
      <c r="W223" s="94">
        <f t="shared" si="13"/>
        <v>0</v>
      </c>
      <c r="X223" s="94" t="str">
        <f t="shared" si="15"/>
        <v/>
      </c>
      <c r="Y223" s="94">
        <f t="shared" si="14"/>
        <v>0</v>
      </c>
    </row>
    <row r="224" spans="22:25" x14ac:dyDescent="0.6">
      <c r="V224" s="94" t="str">
        <f t="shared" si="12"/>
        <v/>
      </c>
      <c r="W224" s="94">
        <f t="shared" si="13"/>
        <v>0</v>
      </c>
      <c r="X224" s="94" t="str">
        <f t="shared" si="15"/>
        <v/>
      </c>
      <c r="Y224" s="94">
        <f t="shared" si="14"/>
        <v>0</v>
      </c>
    </row>
    <row r="225" spans="22:25" x14ac:dyDescent="0.6">
      <c r="V225" s="94" t="str">
        <f t="shared" si="12"/>
        <v/>
      </c>
      <c r="W225" s="94">
        <f t="shared" si="13"/>
        <v>0</v>
      </c>
      <c r="X225" s="94" t="str">
        <f t="shared" si="15"/>
        <v/>
      </c>
      <c r="Y225" s="94">
        <f t="shared" si="14"/>
        <v>0</v>
      </c>
    </row>
    <row r="226" spans="22:25" x14ac:dyDescent="0.6">
      <c r="V226" s="94" t="str">
        <f t="shared" si="12"/>
        <v/>
      </c>
      <c r="W226" s="94">
        <f t="shared" si="13"/>
        <v>0</v>
      </c>
      <c r="X226" s="94" t="str">
        <f t="shared" si="15"/>
        <v/>
      </c>
      <c r="Y226" s="94">
        <f t="shared" si="14"/>
        <v>0</v>
      </c>
    </row>
    <row r="227" spans="22:25" x14ac:dyDescent="0.6">
      <c r="V227" s="94" t="str">
        <f t="shared" si="12"/>
        <v/>
      </c>
      <c r="W227" s="94">
        <f t="shared" si="13"/>
        <v>0</v>
      </c>
      <c r="X227" s="94" t="str">
        <f t="shared" si="15"/>
        <v/>
      </c>
      <c r="Y227" s="94">
        <f t="shared" si="14"/>
        <v>0</v>
      </c>
    </row>
    <row r="228" spans="22:25" x14ac:dyDescent="0.6">
      <c r="V228" s="94" t="str">
        <f t="shared" si="12"/>
        <v/>
      </c>
      <c r="W228" s="94">
        <f t="shared" si="13"/>
        <v>0</v>
      </c>
      <c r="X228" s="94" t="str">
        <f t="shared" si="15"/>
        <v/>
      </c>
      <c r="Y228" s="94">
        <f t="shared" si="14"/>
        <v>0</v>
      </c>
    </row>
    <row r="229" spans="22:25" x14ac:dyDescent="0.6">
      <c r="V229" s="94" t="str">
        <f t="shared" si="12"/>
        <v/>
      </c>
      <c r="W229" s="94">
        <f t="shared" si="13"/>
        <v>0</v>
      </c>
      <c r="X229" s="94" t="str">
        <f t="shared" si="15"/>
        <v/>
      </c>
      <c r="Y229" s="94">
        <f t="shared" si="14"/>
        <v>0</v>
      </c>
    </row>
    <row r="230" spans="22:25" x14ac:dyDescent="0.6">
      <c r="V230" s="94" t="str">
        <f t="shared" si="12"/>
        <v/>
      </c>
      <c r="W230" s="94">
        <f t="shared" si="13"/>
        <v>0</v>
      </c>
      <c r="X230" s="94" t="str">
        <f t="shared" si="15"/>
        <v/>
      </c>
      <c r="Y230" s="94">
        <f t="shared" si="14"/>
        <v>0</v>
      </c>
    </row>
    <row r="231" spans="22:25" x14ac:dyDescent="0.6">
      <c r="V231" s="94" t="str">
        <f t="shared" si="12"/>
        <v/>
      </c>
      <c r="W231" s="94">
        <f t="shared" si="13"/>
        <v>0</v>
      </c>
      <c r="X231" s="94" t="str">
        <f t="shared" si="15"/>
        <v/>
      </c>
      <c r="Y231" s="94">
        <f t="shared" si="14"/>
        <v>0</v>
      </c>
    </row>
    <row r="232" spans="22:25" x14ac:dyDescent="0.6">
      <c r="V232" s="94" t="str">
        <f t="shared" si="12"/>
        <v/>
      </c>
      <c r="W232" s="94">
        <f t="shared" si="13"/>
        <v>0</v>
      </c>
      <c r="X232" s="94" t="str">
        <f t="shared" si="15"/>
        <v/>
      </c>
      <c r="Y232" s="94">
        <f t="shared" si="14"/>
        <v>0</v>
      </c>
    </row>
    <row r="233" spans="22:25" x14ac:dyDescent="0.6">
      <c r="V233" s="94" t="str">
        <f t="shared" si="12"/>
        <v/>
      </c>
      <c r="W233" s="94">
        <f t="shared" si="13"/>
        <v>0</v>
      </c>
      <c r="X233" s="94" t="str">
        <f t="shared" si="15"/>
        <v/>
      </c>
      <c r="Y233" s="94">
        <f t="shared" si="14"/>
        <v>0</v>
      </c>
    </row>
    <row r="234" spans="22:25" x14ac:dyDescent="0.6">
      <c r="V234" s="94" t="str">
        <f t="shared" si="12"/>
        <v/>
      </c>
      <c r="W234" s="94">
        <f t="shared" si="13"/>
        <v>0</v>
      </c>
      <c r="X234" s="94" t="str">
        <f t="shared" si="15"/>
        <v/>
      </c>
      <c r="Y234" s="94">
        <f t="shared" si="14"/>
        <v>0</v>
      </c>
    </row>
    <row r="235" spans="22:25" x14ac:dyDescent="0.6">
      <c r="V235" s="94" t="str">
        <f t="shared" si="12"/>
        <v/>
      </c>
      <c r="W235" s="94">
        <f t="shared" si="13"/>
        <v>0</v>
      </c>
      <c r="X235" s="94" t="str">
        <f t="shared" si="15"/>
        <v/>
      </c>
      <c r="Y235" s="94">
        <f t="shared" si="14"/>
        <v>0</v>
      </c>
    </row>
    <row r="236" spans="22:25" x14ac:dyDescent="0.6">
      <c r="V236" s="94" t="str">
        <f t="shared" si="12"/>
        <v/>
      </c>
      <c r="W236" s="94">
        <f t="shared" si="13"/>
        <v>0</v>
      </c>
      <c r="X236" s="94" t="str">
        <f t="shared" si="15"/>
        <v/>
      </c>
      <c r="Y236" s="94">
        <f t="shared" si="14"/>
        <v>0</v>
      </c>
    </row>
    <row r="237" spans="22:25" x14ac:dyDescent="0.6">
      <c r="V237" s="94" t="str">
        <f t="shared" si="12"/>
        <v/>
      </c>
      <c r="W237" s="94">
        <f t="shared" si="13"/>
        <v>0</v>
      </c>
      <c r="X237" s="94" t="str">
        <f t="shared" si="15"/>
        <v/>
      </c>
      <c r="Y237" s="94">
        <f t="shared" si="14"/>
        <v>0</v>
      </c>
    </row>
    <row r="238" spans="22:25" x14ac:dyDescent="0.6">
      <c r="V238" s="94" t="str">
        <f t="shared" si="12"/>
        <v/>
      </c>
      <c r="W238" s="94">
        <f t="shared" si="13"/>
        <v>0</v>
      </c>
      <c r="X238" s="94" t="str">
        <f t="shared" si="15"/>
        <v/>
      </c>
      <c r="Y238" s="94">
        <f t="shared" si="14"/>
        <v>0</v>
      </c>
    </row>
    <row r="239" spans="22:25" x14ac:dyDescent="0.6">
      <c r="V239" s="94" t="str">
        <f t="shared" si="12"/>
        <v/>
      </c>
      <c r="W239" s="94">
        <f t="shared" si="13"/>
        <v>0</v>
      </c>
      <c r="X239" s="94" t="str">
        <f t="shared" si="15"/>
        <v/>
      </c>
      <c r="Y239" s="94">
        <f t="shared" si="14"/>
        <v>0</v>
      </c>
    </row>
    <row r="240" spans="22:25" x14ac:dyDescent="0.6">
      <c r="V240" s="94" t="str">
        <f t="shared" si="12"/>
        <v/>
      </c>
      <c r="W240" s="94">
        <f t="shared" si="13"/>
        <v>0</v>
      </c>
      <c r="X240" s="94" t="str">
        <f t="shared" si="15"/>
        <v/>
      </c>
      <c r="Y240" s="94">
        <f t="shared" si="14"/>
        <v>0</v>
      </c>
    </row>
    <row r="241" spans="22:25" x14ac:dyDescent="0.6">
      <c r="V241" s="94" t="str">
        <f t="shared" si="12"/>
        <v/>
      </c>
      <c r="W241" s="94">
        <f t="shared" si="13"/>
        <v>0</v>
      </c>
      <c r="X241" s="94" t="str">
        <f t="shared" si="15"/>
        <v/>
      </c>
      <c r="Y241" s="94">
        <f t="shared" si="14"/>
        <v>0</v>
      </c>
    </row>
    <row r="242" spans="22:25" x14ac:dyDescent="0.6">
      <c r="V242" s="94" t="str">
        <f t="shared" si="12"/>
        <v/>
      </c>
      <c r="W242" s="94">
        <f t="shared" si="13"/>
        <v>0</v>
      </c>
      <c r="X242" s="94" t="str">
        <f t="shared" si="15"/>
        <v/>
      </c>
      <c r="Y242" s="94">
        <f t="shared" si="14"/>
        <v>0</v>
      </c>
    </row>
    <row r="243" spans="22:25" x14ac:dyDescent="0.6">
      <c r="V243" s="94" t="str">
        <f t="shared" si="12"/>
        <v/>
      </c>
      <c r="W243" s="94">
        <f t="shared" si="13"/>
        <v>0</v>
      </c>
      <c r="X243" s="94" t="str">
        <f t="shared" si="15"/>
        <v/>
      </c>
      <c r="Y243" s="94">
        <f t="shared" si="14"/>
        <v>0</v>
      </c>
    </row>
    <row r="244" spans="22:25" x14ac:dyDescent="0.6">
      <c r="V244" s="94" t="str">
        <f t="shared" si="12"/>
        <v/>
      </c>
      <c r="W244" s="94">
        <f t="shared" si="13"/>
        <v>0</v>
      </c>
      <c r="X244" s="94" t="str">
        <f t="shared" si="15"/>
        <v/>
      </c>
      <c r="Y244" s="94">
        <f t="shared" si="14"/>
        <v>0</v>
      </c>
    </row>
    <row r="245" spans="22:25" x14ac:dyDescent="0.6">
      <c r="V245" s="94" t="str">
        <f t="shared" si="12"/>
        <v/>
      </c>
      <c r="W245" s="94">
        <f t="shared" si="13"/>
        <v>0</v>
      </c>
      <c r="X245" s="94" t="str">
        <f t="shared" si="15"/>
        <v/>
      </c>
      <c r="Y245" s="94">
        <f t="shared" si="14"/>
        <v>0</v>
      </c>
    </row>
    <row r="246" spans="22:25" x14ac:dyDescent="0.6">
      <c r="V246" s="94" t="str">
        <f t="shared" si="12"/>
        <v/>
      </c>
      <c r="W246" s="94">
        <f t="shared" si="13"/>
        <v>0</v>
      </c>
      <c r="X246" s="94" t="str">
        <f t="shared" si="15"/>
        <v/>
      </c>
      <c r="Y246" s="94">
        <f t="shared" si="14"/>
        <v>0</v>
      </c>
    </row>
    <row r="247" spans="22:25" x14ac:dyDescent="0.6">
      <c r="V247" s="94" t="str">
        <f t="shared" si="12"/>
        <v/>
      </c>
      <c r="W247" s="94">
        <f t="shared" si="13"/>
        <v>0</v>
      </c>
      <c r="X247" s="94" t="str">
        <f t="shared" si="15"/>
        <v/>
      </c>
      <c r="Y247" s="94">
        <f t="shared" si="14"/>
        <v>0</v>
      </c>
    </row>
    <row r="248" spans="22:25" x14ac:dyDescent="0.6">
      <c r="V248" s="94" t="str">
        <f t="shared" si="12"/>
        <v/>
      </c>
      <c r="W248" s="94">
        <f t="shared" si="13"/>
        <v>0</v>
      </c>
      <c r="X248" s="94" t="str">
        <f t="shared" si="15"/>
        <v/>
      </c>
      <c r="Y248" s="94">
        <f t="shared" si="14"/>
        <v>0</v>
      </c>
    </row>
    <row r="249" spans="22:25" x14ac:dyDescent="0.6">
      <c r="V249" s="94" t="str">
        <f t="shared" si="12"/>
        <v/>
      </c>
      <c r="W249" s="94">
        <f t="shared" si="13"/>
        <v>0</v>
      </c>
      <c r="X249" s="94" t="str">
        <f t="shared" si="15"/>
        <v/>
      </c>
      <c r="Y249" s="94">
        <f t="shared" si="14"/>
        <v>0</v>
      </c>
    </row>
    <row r="250" spans="22:25" x14ac:dyDescent="0.6">
      <c r="V250" s="94" t="str">
        <f t="shared" si="12"/>
        <v/>
      </c>
      <c r="W250" s="94">
        <f t="shared" si="13"/>
        <v>0</v>
      </c>
      <c r="X250" s="94" t="str">
        <f t="shared" si="15"/>
        <v/>
      </c>
      <c r="Y250" s="94">
        <f t="shared" si="14"/>
        <v>0</v>
      </c>
    </row>
    <row r="251" spans="22:25" x14ac:dyDescent="0.6">
      <c r="V251" s="94" t="str">
        <f t="shared" si="12"/>
        <v/>
      </c>
      <c r="W251" s="94">
        <f t="shared" si="13"/>
        <v>0</v>
      </c>
      <c r="X251" s="94" t="str">
        <f t="shared" si="15"/>
        <v/>
      </c>
      <c r="Y251" s="94">
        <f t="shared" si="14"/>
        <v>0</v>
      </c>
    </row>
    <row r="252" spans="22:25" x14ac:dyDescent="0.6">
      <c r="V252" s="94" t="str">
        <f t="shared" si="12"/>
        <v/>
      </c>
      <c r="W252" s="94">
        <f t="shared" si="13"/>
        <v>0</v>
      </c>
      <c r="X252" s="94" t="str">
        <f t="shared" si="15"/>
        <v/>
      </c>
      <c r="Y252" s="94">
        <f t="shared" si="14"/>
        <v>0</v>
      </c>
    </row>
    <row r="253" spans="22:25" x14ac:dyDescent="0.6">
      <c r="V253" s="94" t="str">
        <f t="shared" si="12"/>
        <v/>
      </c>
      <c r="W253" s="94">
        <f t="shared" si="13"/>
        <v>0</v>
      </c>
      <c r="X253" s="94" t="str">
        <f t="shared" si="15"/>
        <v/>
      </c>
      <c r="Y253" s="94">
        <f t="shared" si="14"/>
        <v>0</v>
      </c>
    </row>
    <row r="254" spans="22:25" x14ac:dyDescent="0.6">
      <c r="V254" s="94" t="str">
        <f t="shared" si="12"/>
        <v/>
      </c>
      <c r="W254" s="94">
        <f t="shared" si="13"/>
        <v>0</v>
      </c>
      <c r="X254" s="94" t="str">
        <f t="shared" si="15"/>
        <v/>
      </c>
      <c r="Y254" s="94">
        <f t="shared" si="14"/>
        <v>0</v>
      </c>
    </row>
    <row r="255" spans="22:25" x14ac:dyDescent="0.6">
      <c r="V255" s="94" t="str">
        <f t="shared" si="12"/>
        <v/>
      </c>
      <c r="W255" s="94">
        <f t="shared" si="13"/>
        <v>0</v>
      </c>
      <c r="X255" s="94" t="str">
        <f t="shared" si="15"/>
        <v/>
      </c>
      <c r="Y255" s="94">
        <f t="shared" si="14"/>
        <v>0</v>
      </c>
    </row>
    <row r="256" spans="22:25" x14ac:dyDescent="0.6">
      <c r="V256" s="94" t="str">
        <f t="shared" si="12"/>
        <v/>
      </c>
      <c r="W256" s="94">
        <f t="shared" si="13"/>
        <v>0</v>
      </c>
      <c r="X256" s="94" t="str">
        <f t="shared" si="15"/>
        <v/>
      </c>
      <c r="Y256" s="94">
        <f t="shared" si="14"/>
        <v>0</v>
      </c>
    </row>
    <row r="257" spans="22:25" x14ac:dyDescent="0.6">
      <c r="V257" s="94" t="str">
        <f t="shared" si="12"/>
        <v/>
      </c>
      <c r="W257" s="94">
        <f t="shared" si="13"/>
        <v>0</v>
      </c>
      <c r="X257" s="94" t="str">
        <f t="shared" si="15"/>
        <v/>
      </c>
      <c r="Y257" s="94">
        <f t="shared" si="14"/>
        <v>0</v>
      </c>
    </row>
    <row r="258" spans="22:25" x14ac:dyDescent="0.6">
      <c r="V258" s="94" t="str">
        <f t="shared" si="12"/>
        <v/>
      </c>
      <c r="W258" s="94">
        <f t="shared" si="13"/>
        <v>0</v>
      </c>
      <c r="X258" s="94" t="str">
        <f t="shared" si="15"/>
        <v/>
      </c>
      <c r="Y258" s="94">
        <f t="shared" si="14"/>
        <v>0</v>
      </c>
    </row>
    <row r="259" spans="22:25" x14ac:dyDescent="0.6">
      <c r="V259" s="94" t="str">
        <f t="shared" si="12"/>
        <v/>
      </c>
      <c r="W259" s="94">
        <f t="shared" si="13"/>
        <v>0</v>
      </c>
      <c r="X259" s="94" t="str">
        <f t="shared" si="15"/>
        <v/>
      </c>
      <c r="Y259" s="94">
        <f t="shared" si="14"/>
        <v>0</v>
      </c>
    </row>
    <row r="260" spans="22:25" x14ac:dyDescent="0.6">
      <c r="V260" s="94" t="str">
        <f t="shared" si="12"/>
        <v/>
      </c>
      <c r="W260" s="94">
        <f t="shared" si="13"/>
        <v>0</v>
      </c>
      <c r="X260" s="94" t="str">
        <f t="shared" si="15"/>
        <v/>
      </c>
      <c r="Y260" s="94">
        <f t="shared" si="14"/>
        <v>0</v>
      </c>
    </row>
    <row r="261" spans="22:25" x14ac:dyDescent="0.6">
      <c r="V261" s="94" t="str">
        <f t="shared" ref="V261:V324" si="16">IF(B261&lt;&gt;"",V260+1,"")</f>
        <v/>
      </c>
      <c r="W261" s="94">
        <f t="shared" ref="W261:W324" si="17">IFERROR(IF(ISEVEN(V261)=FALSE,0,1),0)</f>
        <v>0</v>
      </c>
      <c r="X261" s="94" t="str">
        <f t="shared" si="15"/>
        <v/>
      </c>
      <c r="Y261" s="94">
        <f t="shared" ref="Y261:Y324" si="18">IFERROR(IF(ISEVEN(X261)=FALSE,0,1),0)</f>
        <v>0</v>
      </c>
    </row>
    <row r="262" spans="22:25" x14ac:dyDescent="0.6">
      <c r="V262" s="94" t="str">
        <f t="shared" si="16"/>
        <v/>
      </c>
      <c r="W262" s="94">
        <f t="shared" si="17"/>
        <v>0</v>
      </c>
      <c r="X262" s="94" t="str">
        <f t="shared" ref="X262:X325" si="19">IF(O262&lt;&gt;"",X261+1,"")</f>
        <v/>
      </c>
      <c r="Y262" s="94">
        <f t="shared" si="18"/>
        <v>0</v>
      </c>
    </row>
    <row r="263" spans="22:25" x14ac:dyDescent="0.6">
      <c r="V263" s="94" t="str">
        <f t="shared" si="16"/>
        <v/>
      </c>
      <c r="W263" s="94">
        <f t="shared" si="17"/>
        <v>0</v>
      </c>
      <c r="X263" s="94" t="str">
        <f t="shared" si="19"/>
        <v/>
      </c>
      <c r="Y263" s="94">
        <f t="shared" si="18"/>
        <v>0</v>
      </c>
    </row>
    <row r="264" spans="22:25" x14ac:dyDescent="0.6">
      <c r="V264" s="94" t="str">
        <f t="shared" si="16"/>
        <v/>
      </c>
      <c r="W264" s="94">
        <f t="shared" si="17"/>
        <v>0</v>
      </c>
      <c r="X264" s="94" t="str">
        <f t="shared" si="19"/>
        <v/>
      </c>
      <c r="Y264" s="94">
        <f t="shared" si="18"/>
        <v>0</v>
      </c>
    </row>
    <row r="265" spans="22:25" x14ac:dyDescent="0.6">
      <c r="V265" s="94" t="str">
        <f t="shared" si="16"/>
        <v/>
      </c>
      <c r="W265" s="94">
        <f t="shared" si="17"/>
        <v>0</v>
      </c>
      <c r="X265" s="94" t="str">
        <f t="shared" si="19"/>
        <v/>
      </c>
      <c r="Y265" s="94">
        <f t="shared" si="18"/>
        <v>0</v>
      </c>
    </row>
    <row r="266" spans="22:25" x14ac:dyDescent="0.6">
      <c r="V266" s="94" t="str">
        <f t="shared" si="16"/>
        <v/>
      </c>
      <c r="W266" s="94">
        <f t="shared" si="17"/>
        <v>0</v>
      </c>
      <c r="X266" s="94" t="str">
        <f t="shared" si="19"/>
        <v/>
      </c>
      <c r="Y266" s="94">
        <f t="shared" si="18"/>
        <v>0</v>
      </c>
    </row>
    <row r="267" spans="22:25" x14ac:dyDescent="0.6">
      <c r="V267" s="94" t="str">
        <f t="shared" si="16"/>
        <v/>
      </c>
      <c r="W267" s="94">
        <f t="shared" si="17"/>
        <v>0</v>
      </c>
      <c r="X267" s="94" t="str">
        <f t="shared" si="19"/>
        <v/>
      </c>
      <c r="Y267" s="94">
        <f t="shared" si="18"/>
        <v>0</v>
      </c>
    </row>
    <row r="268" spans="22:25" x14ac:dyDescent="0.6">
      <c r="V268" s="94" t="str">
        <f t="shared" si="16"/>
        <v/>
      </c>
      <c r="W268" s="94">
        <f t="shared" si="17"/>
        <v>0</v>
      </c>
      <c r="X268" s="94" t="str">
        <f t="shared" si="19"/>
        <v/>
      </c>
      <c r="Y268" s="94">
        <f t="shared" si="18"/>
        <v>0</v>
      </c>
    </row>
    <row r="269" spans="22:25" x14ac:dyDescent="0.6">
      <c r="V269" s="94" t="str">
        <f t="shared" si="16"/>
        <v/>
      </c>
      <c r="W269" s="94">
        <f t="shared" si="17"/>
        <v>0</v>
      </c>
      <c r="X269" s="94" t="str">
        <f t="shared" si="19"/>
        <v/>
      </c>
      <c r="Y269" s="94">
        <f t="shared" si="18"/>
        <v>0</v>
      </c>
    </row>
    <row r="270" spans="22:25" x14ac:dyDescent="0.6">
      <c r="V270" s="94" t="str">
        <f t="shared" si="16"/>
        <v/>
      </c>
      <c r="W270" s="94">
        <f t="shared" si="17"/>
        <v>0</v>
      </c>
      <c r="X270" s="94" t="str">
        <f t="shared" si="19"/>
        <v/>
      </c>
      <c r="Y270" s="94">
        <f t="shared" si="18"/>
        <v>0</v>
      </c>
    </row>
    <row r="271" spans="22:25" x14ac:dyDescent="0.6">
      <c r="V271" s="94" t="str">
        <f t="shared" si="16"/>
        <v/>
      </c>
      <c r="W271" s="94">
        <f t="shared" si="17"/>
        <v>0</v>
      </c>
      <c r="X271" s="94" t="str">
        <f t="shared" si="19"/>
        <v/>
      </c>
      <c r="Y271" s="94">
        <f t="shared" si="18"/>
        <v>0</v>
      </c>
    </row>
    <row r="272" spans="22:25" x14ac:dyDescent="0.6">
      <c r="V272" s="94" t="str">
        <f t="shared" si="16"/>
        <v/>
      </c>
      <c r="W272" s="94">
        <f t="shared" si="17"/>
        <v>0</v>
      </c>
      <c r="X272" s="94" t="str">
        <f t="shared" si="19"/>
        <v/>
      </c>
      <c r="Y272" s="94">
        <f t="shared" si="18"/>
        <v>0</v>
      </c>
    </row>
    <row r="273" spans="22:25" x14ac:dyDescent="0.6">
      <c r="V273" s="94" t="str">
        <f t="shared" si="16"/>
        <v/>
      </c>
      <c r="W273" s="94">
        <f t="shared" si="17"/>
        <v>0</v>
      </c>
      <c r="X273" s="94" t="str">
        <f t="shared" si="19"/>
        <v/>
      </c>
      <c r="Y273" s="94">
        <f t="shared" si="18"/>
        <v>0</v>
      </c>
    </row>
    <row r="274" spans="22:25" x14ac:dyDescent="0.6">
      <c r="V274" s="94" t="str">
        <f t="shared" si="16"/>
        <v/>
      </c>
      <c r="W274" s="94">
        <f t="shared" si="17"/>
        <v>0</v>
      </c>
      <c r="X274" s="94" t="str">
        <f t="shared" si="19"/>
        <v/>
      </c>
      <c r="Y274" s="94">
        <f t="shared" si="18"/>
        <v>0</v>
      </c>
    </row>
    <row r="275" spans="22:25" x14ac:dyDescent="0.6">
      <c r="V275" s="94" t="str">
        <f t="shared" si="16"/>
        <v/>
      </c>
      <c r="W275" s="94">
        <f t="shared" si="17"/>
        <v>0</v>
      </c>
      <c r="X275" s="94" t="str">
        <f t="shared" si="19"/>
        <v/>
      </c>
      <c r="Y275" s="94">
        <f t="shared" si="18"/>
        <v>0</v>
      </c>
    </row>
    <row r="276" spans="22:25" x14ac:dyDescent="0.6">
      <c r="V276" s="94" t="str">
        <f t="shared" si="16"/>
        <v/>
      </c>
      <c r="W276" s="94">
        <f t="shared" si="17"/>
        <v>0</v>
      </c>
      <c r="X276" s="94" t="str">
        <f t="shared" si="19"/>
        <v/>
      </c>
      <c r="Y276" s="94">
        <f t="shared" si="18"/>
        <v>0</v>
      </c>
    </row>
    <row r="277" spans="22:25" x14ac:dyDescent="0.6">
      <c r="V277" s="94" t="str">
        <f t="shared" si="16"/>
        <v/>
      </c>
      <c r="W277" s="94">
        <f t="shared" si="17"/>
        <v>0</v>
      </c>
      <c r="X277" s="94" t="str">
        <f t="shared" si="19"/>
        <v/>
      </c>
      <c r="Y277" s="94">
        <f t="shared" si="18"/>
        <v>0</v>
      </c>
    </row>
    <row r="278" spans="22:25" x14ac:dyDescent="0.6">
      <c r="V278" s="94" t="str">
        <f t="shared" si="16"/>
        <v/>
      </c>
      <c r="W278" s="94">
        <f t="shared" si="17"/>
        <v>0</v>
      </c>
      <c r="X278" s="94" t="str">
        <f t="shared" si="19"/>
        <v/>
      </c>
      <c r="Y278" s="94">
        <f t="shared" si="18"/>
        <v>0</v>
      </c>
    </row>
    <row r="279" spans="22:25" x14ac:dyDescent="0.6">
      <c r="V279" s="94" t="str">
        <f t="shared" si="16"/>
        <v/>
      </c>
      <c r="W279" s="94">
        <f t="shared" si="17"/>
        <v>0</v>
      </c>
      <c r="X279" s="94" t="str">
        <f t="shared" si="19"/>
        <v/>
      </c>
      <c r="Y279" s="94">
        <f t="shared" si="18"/>
        <v>0</v>
      </c>
    </row>
    <row r="280" spans="22:25" x14ac:dyDescent="0.6">
      <c r="V280" s="94" t="str">
        <f t="shared" si="16"/>
        <v/>
      </c>
      <c r="W280" s="94">
        <f t="shared" si="17"/>
        <v>0</v>
      </c>
      <c r="X280" s="94" t="str">
        <f t="shared" si="19"/>
        <v/>
      </c>
      <c r="Y280" s="94">
        <f t="shared" si="18"/>
        <v>0</v>
      </c>
    </row>
    <row r="281" spans="22:25" x14ac:dyDescent="0.6">
      <c r="V281" s="94" t="str">
        <f t="shared" si="16"/>
        <v/>
      </c>
      <c r="W281" s="94">
        <f t="shared" si="17"/>
        <v>0</v>
      </c>
      <c r="X281" s="94" t="str">
        <f t="shared" si="19"/>
        <v/>
      </c>
      <c r="Y281" s="94">
        <f t="shared" si="18"/>
        <v>0</v>
      </c>
    </row>
    <row r="282" spans="22:25" x14ac:dyDescent="0.6">
      <c r="V282" s="94" t="str">
        <f t="shared" si="16"/>
        <v/>
      </c>
      <c r="W282" s="94">
        <f t="shared" si="17"/>
        <v>0</v>
      </c>
      <c r="X282" s="94" t="str">
        <f t="shared" si="19"/>
        <v/>
      </c>
      <c r="Y282" s="94">
        <f t="shared" si="18"/>
        <v>0</v>
      </c>
    </row>
    <row r="283" spans="22:25" x14ac:dyDescent="0.6">
      <c r="V283" s="94" t="str">
        <f t="shared" si="16"/>
        <v/>
      </c>
      <c r="W283" s="94">
        <f t="shared" si="17"/>
        <v>0</v>
      </c>
      <c r="X283" s="94" t="str">
        <f t="shared" si="19"/>
        <v/>
      </c>
      <c r="Y283" s="94">
        <f t="shared" si="18"/>
        <v>0</v>
      </c>
    </row>
    <row r="284" spans="22:25" x14ac:dyDescent="0.6">
      <c r="V284" s="94" t="str">
        <f t="shared" si="16"/>
        <v/>
      </c>
      <c r="W284" s="94">
        <f t="shared" si="17"/>
        <v>0</v>
      </c>
      <c r="X284" s="94" t="str">
        <f t="shared" si="19"/>
        <v/>
      </c>
      <c r="Y284" s="94">
        <f t="shared" si="18"/>
        <v>0</v>
      </c>
    </row>
    <row r="285" spans="22:25" x14ac:dyDescent="0.6">
      <c r="V285" s="94" t="str">
        <f t="shared" si="16"/>
        <v/>
      </c>
      <c r="W285" s="94">
        <f t="shared" si="17"/>
        <v>0</v>
      </c>
      <c r="X285" s="94" t="str">
        <f t="shared" si="19"/>
        <v/>
      </c>
      <c r="Y285" s="94">
        <f t="shared" si="18"/>
        <v>0</v>
      </c>
    </row>
    <row r="286" spans="22:25" x14ac:dyDescent="0.6">
      <c r="V286" s="94" t="str">
        <f t="shared" si="16"/>
        <v/>
      </c>
      <c r="W286" s="94">
        <f t="shared" si="17"/>
        <v>0</v>
      </c>
      <c r="X286" s="94" t="str">
        <f t="shared" si="19"/>
        <v/>
      </c>
      <c r="Y286" s="94">
        <f t="shared" si="18"/>
        <v>0</v>
      </c>
    </row>
    <row r="287" spans="22:25" x14ac:dyDescent="0.6">
      <c r="V287" s="94" t="str">
        <f t="shared" si="16"/>
        <v/>
      </c>
      <c r="W287" s="94">
        <f t="shared" si="17"/>
        <v>0</v>
      </c>
      <c r="X287" s="94" t="str">
        <f t="shared" si="19"/>
        <v/>
      </c>
      <c r="Y287" s="94">
        <f t="shared" si="18"/>
        <v>0</v>
      </c>
    </row>
    <row r="288" spans="22:25" x14ac:dyDescent="0.6">
      <c r="V288" s="94" t="str">
        <f t="shared" si="16"/>
        <v/>
      </c>
      <c r="W288" s="94">
        <f t="shared" si="17"/>
        <v>0</v>
      </c>
      <c r="X288" s="94" t="str">
        <f t="shared" si="19"/>
        <v/>
      </c>
      <c r="Y288" s="94">
        <f t="shared" si="18"/>
        <v>0</v>
      </c>
    </row>
    <row r="289" spans="22:25" x14ac:dyDescent="0.6">
      <c r="V289" s="94" t="str">
        <f t="shared" si="16"/>
        <v/>
      </c>
      <c r="W289" s="94">
        <f t="shared" si="17"/>
        <v>0</v>
      </c>
      <c r="X289" s="94" t="str">
        <f t="shared" si="19"/>
        <v/>
      </c>
      <c r="Y289" s="94">
        <f t="shared" si="18"/>
        <v>0</v>
      </c>
    </row>
    <row r="290" spans="22:25" x14ac:dyDescent="0.6">
      <c r="V290" s="94" t="str">
        <f t="shared" si="16"/>
        <v/>
      </c>
      <c r="W290" s="94">
        <f t="shared" si="17"/>
        <v>0</v>
      </c>
      <c r="X290" s="94" t="str">
        <f t="shared" si="19"/>
        <v/>
      </c>
      <c r="Y290" s="94">
        <f t="shared" si="18"/>
        <v>0</v>
      </c>
    </row>
    <row r="291" spans="22:25" x14ac:dyDescent="0.6">
      <c r="V291" s="94" t="str">
        <f t="shared" si="16"/>
        <v/>
      </c>
      <c r="W291" s="94">
        <f t="shared" si="17"/>
        <v>0</v>
      </c>
      <c r="X291" s="94" t="str">
        <f t="shared" si="19"/>
        <v/>
      </c>
      <c r="Y291" s="94">
        <f t="shared" si="18"/>
        <v>0</v>
      </c>
    </row>
    <row r="292" spans="22:25" x14ac:dyDescent="0.6">
      <c r="V292" s="94" t="str">
        <f t="shared" si="16"/>
        <v/>
      </c>
      <c r="W292" s="94">
        <f t="shared" si="17"/>
        <v>0</v>
      </c>
      <c r="X292" s="94" t="str">
        <f t="shared" si="19"/>
        <v/>
      </c>
      <c r="Y292" s="94">
        <f t="shared" si="18"/>
        <v>0</v>
      </c>
    </row>
    <row r="293" spans="22:25" x14ac:dyDescent="0.6">
      <c r="V293" s="94" t="str">
        <f t="shared" si="16"/>
        <v/>
      </c>
      <c r="W293" s="94">
        <f t="shared" si="17"/>
        <v>0</v>
      </c>
      <c r="X293" s="94" t="str">
        <f t="shared" si="19"/>
        <v/>
      </c>
      <c r="Y293" s="94">
        <f t="shared" si="18"/>
        <v>0</v>
      </c>
    </row>
    <row r="294" spans="22:25" x14ac:dyDescent="0.6">
      <c r="V294" s="94" t="str">
        <f t="shared" si="16"/>
        <v/>
      </c>
      <c r="W294" s="94">
        <f t="shared" si="17"/>
        <v>0</v>
      </c>
      <c r="X294" s="94" t="str">
        <f t="shared" si="19"/>
        <v/>
      </c>
      <c r="Y294" s="94">
        <f t="shared" si="18"/>
        <v>0</v>
      </c>
    </row>
    <row r="295" spans="22:25" x14ac:dyDescent="0.6">
      <c r="V295" s="94" t="str">
        <f t="shared" si="16"/>
        <v/>
      </c>
      <c r="W295" s="94">
        <f t="shared" si="17"/>
        <v>0</v>
      </c>
      <c r="X295" s="94" t="str">
        <f t="shared" si="19"/>
        <v/>
      </c>
      <c r="Y295" s="94">
        <f t="shared" si="18"/>
        <v>0</v>
      </c>
    </row>
    <row r="296" spans="22:25" x14ac:dyDescent="0.6">
      <c r="V296" s="94" t="str">
        <f t="shared" si="16"/>
        <v/>
      </c>
      <c r="W296" s="94">
        <f t="shared" si="17"/>
        <v>0</v>
      </c>
      <c r="X296" s="94" t="str">
        <f t="shared" si="19"/>
        <v/>
      </c>
      <c r="Y296" s="94">
        <f t="shared" si="18"/>
        <v>0</v>
      </c>
    </row>
    <row r="297" spans="22:25" x14ac:dyDescent="0.6">
      <c r="V297" s="94" t="str">
        <f t="shared" si="16"/>
        <v/>
      </c>
      <c r="W297" s="94">
        <f t="shared" si="17"/>
        <v>0</v>
      </c>
      <c r="X297" s="94" t="str">
        <f t="shared" si="19"/>
        <v/>
      </c>
      <c r="Y297" s="94">
        <f t="shared" si="18"/>
        <v>0</v>
      </c>
    </row>
    <row r="298" spans="22:25" x14ac:dyDescent="0.6">
      <c r="V298" s="94" t="str">
        <f t="shared" si="16"/>
        <v/>
      </c>
      <c r="W298" s="94">
        <f t="shared" si="17"/>
        <v>0</v>
      </c>
      <c r="X298" s="94" t="str">
        <f t="shared" si="19"/>
        <v/>
      </c>
      <c r="Y298" s="94">
        <f t="shared" si="18"/>
        <v>0</v>
      </c>
    </row>
    <row r="299" spans="22:25" x14ac:dyDescent="0.6">
      <c r="V299" s="94" t="str">
        <f t="shared" si="16"/>
        <v/>
      </c>
      <c r="W299" s="94">
        <f t="shared" si="17"/>
        <v>0</v>
      </c>
      <c r="X299" s="94" t="str">
        <f t="shared" si="19"/>
        <v/>
      </c>
      <c r="Y299" s="94">
        <f t="shared" si="18"/>
        <v>0</v>
      </c>
    </row>
    <row r="300" spans="22:25" x14ac:dyDescent="0.6">
      <c r="V300" s="94" t="str">
        <f t="shared" si="16"/>
        <v/>
      </c>
      <c r="W300" s="94">
        <f t="shared" si="17"/>
        <v>0</v>
      </c>
      <c r="X300" s="94" t="str">
        <f t="shared" si="19"/>
        <v/>
      </c>
      <c r="Y300" s="94">
        <f t="shared" si="18"/>
        <v>0</v>
      </c>
    </row>
    <row r="301" spans="22:25" x14ac:dyDescent="0.6">
      <c r="V301" s="94" t="str">
        <f t="shared" si="16"/>
        <v/>
      </c>
      <c r="W301" s="94">
        <f t="shared" si="17"/>
        <v>0</v>
      </c>
      <c r="X301" s="94" t="str">
        <f t="shared" si="19"/>
        <v/>
      </c>
      <c r="Y301" s="94">
        <f t="shared" si="18"/>
        <v>0</v>
      </c>
    </row>
    <row r="302" spans="22:25" x14ac:dyDescent="0.6">
      <c r="V302" s="94" t="str">
        <f t="shared" si="16"/>
        <v/>
      </c>
      <c r="W302" s="94">
        <f t="shared" si="17"/>
        <v>0</v>
      </c>
      <c r="X302" s="94" t="str">
        <f t="shared" si="19"/>
        <v/>
      </c>
      <c r="Y302" s="94">
        <f t="shared" si="18"/>
        <v>0</v>
      </c>
    </row>
    <row r="303" spans="22:25" x14ac:dyDescent="0.6">
      <c r="V303" s="94" t="str">
        <f t="shared" si="16"/>
        <v/>
      </c>
      <c r="W303" s="94">
        <f t="shared" si="17"/>
        <v>0</v>
      </c>
      <c r="X303" s="94" t="str">
        <f t="shared" si="19"/>
        <v/>
      </c>
      <c r="Y303" s="94">
        <f t="shared" si="18"/>
        <v>0</v>
      </c>
    </row>
    <row r="304" spans="22:25" x14ac:dyDescent="0.6">
      <c r="V304" s="94" t="str">
        <f t="shared" si="16"/>
        <v/>
      </c>
      <c r="W304" s="94">
        <f t="shared" si="17"/>
        <v>0</v>
      </c>
      <c r="X304" s="94" t="str">
        <f t="shared" si="19"/>
        <v/>
      </c>
      <c r="Y304" s="94">
        <f t="shared" si="18"/>
        <v>0</v>
      </c>
    </row>
    <row r="305" spans="22:25" x14ac:dyDescent="0.6">
      <c r="V305" s="94" t="str">
        <f t="shared" si="16"/>
        <v/>
      </c>
      <c r="W305" s="94">
        <f t="shared" si="17"/>
        <v>0</v>
      </c>
      <c r="X305" s="94" t="str">
        <f t="shared" si="19"/>
        <v/>
      </c>
      <c r="Y305" s="94">
        <f t="shared" si="18"/>
        <v>0</v>
      </c>
    </row>
    <row r="306" spans="22:25" x14ac:dyDescent="0.6">
      <c r="V306" s="94" t="str">
        <f t="shared" si="16"/>
        <v/>
      </c>
      <c r="W306" s="94">
        <f t="shared" si="17"/>
        <v>0</v>
      </c>
      <c r="X306" s="94" t="str">
        <f t="shared" si="19"/>
        <v/>
      </c>
      <c r="Y306" s="94">
        <f t="shared" si="18"/>
        <v>0</v>
      </c>
    </row>
    <row r="307" spans="22:25" x14ac:dyDescent="0.6">
      <c r="V307" s="94" t="str">
        <f t="shared" si="16"/>
        <v/>
      </c>
      <c r="W307" s="94">
        <f t="shared" si="17"/>
        <v>0</v>
      </c>
      <c r="X307" s="94" t="str">
        <f t="shared" si="19"/>
        <v/>
      </c>
      <c r="Y307" s="94">
        <f t="shared" si="18"/>
        <v>0</v>
      </c>
    </row>
    <row r="308" spans="22:25" x14ac:dyDescent="0.6">
      <c r="V308" s="94" t="str">
        <f t="shared" si="16"/>
        <v/>
      </c>
      <c r="W308" s="94">
        <f t="shared" si="17"/>
        <v>0</v>
      </c>
      <c r="X308" s="94" t="str">
        <f t="shared" si="19"/>
        <v/>
      </c>
      <c r="Y308" s="94">
        <f t="shared" si="18"/>
        <v>0</v>
      </c>
    </row>
    <row r="309" spans="22:25" x14ac:dyDescent="0.6">
      <c r="V309" s="94" t="str">
        <f t="shared" si="16"/>
        <v/>
      </c>
      <c r="W309" s="94">
        <f t="shared" si="17"/>
        <v>0</v>
      </c>
      <c r="X309" s="94" t="str">
        <f t="shared" si="19"/>
        <v/>
      </c>
      <c r="Y309" s="94">
        <f t="shared" si="18"/>
        <v>0</v>
      </c>
    </row>
    <row r="310" spans="22:25" x14ac:dyDescent="0.6">
      <c r="V310" s="94" t="str">
        <f t="shared" si="16"/>
        <v/>
      </c>
      <c r="W310" s="94">
        <f t="shared" si="17"/>
        <v>0</v>
      </c>
      <c r="X310" s="94" t="str">
        <f t="shared" si="19"/>
        <v/>
      </c>
      <c r="Y310" s="94">
        <f t="shared" si="18"/>
        <v>0</v>
      </c>
    </row>
    <row r="311" spans="22:25" x14ac:dyDescent="0.6">
      <c r="V311" s="94" t="str">
        <f t="shared" si="16"/>
        <v/>
      </c>
      <c r="W311" s="94">
        <f t="shared" si="17"/>
        <v>0</v>
      </c>
      <c r="X311" s="94" t="str">
        <f t="shared" si="19"/>
        <v/>
      </c>
      <c r="Y311" s="94">
        <f t="shared" si="18"/>
        <v>0</v>
      </c>
    </row>
    <row r="312" spans="22:25" x14ac:dyDescent="0.6">
      <c r="V312" s="94" t="str">
        <f t="shared" si="16"/>
        <v/>
      </c>
      <c r="W312" s="94">
        <f t="shared" si="17"/>
        <v>0</v>
      </c>
      <c r="X312" s="94" t="str">
        <f t="shared" si="19"/>
        <v/>
      </c>
      <c r="Y312" s="94">
        <f t="shared" si="18"/>
        <v>0</v>
      </c>
    </row>
    <row r="313" spans="22:25" x14ac:dyDescent="0.6">
      <c r="V313" s="94" t="str">
        <f t="shared" si="16"/>
        <v/>
      </c>
      <c r="W313" s="94">
        <f t="shared" si="17"/>
        <v>0</v>
      </c>
      <c r="X313" s="94" t="str">
        <f t="shared" si="19"/>
        <v/>
      </c>
      <c r="Y313" s="94">
        <f t="shared" si="18"/>
        <v>0</v>
      </c>
    </row>
    <row r="314" spans="22:25" x14ac:dyDescent="0.6">
      <c r="V314" s="94" t="str">
        <f t="shared" si="16"/>
        <v/>
      </c>
      <c r="W314" s="94">
        <f t="shared" si="17"/>
        <v>0</v>
      </c>
      <c r="X314" s="94" t="str">
        <f t="shared" si="19"/>
        <v/>
      </c>
      <c r="Y314" s="94">
        <f t="shared" si="18"/>
        <v>0</v>
      </c>
    </row>
    <row r="315" spans="22:25" x14ac:dyDescent="0.6">
      <c r="V315" s="94" t="str">
        <f t="shared" si="16"/>
        <v/>
      </c>
      <c r="W315" s="94">
        <f t="shared" si="17"/>
        <v>0</v>
      </c>
      <c r="X315" s="94" t="str">
        <f t="shared" si="19"/>
        <v/>
      </c>
      <c r="Y315" s="94">
        <f t="shared" si="18"/>
        <v>0</v>
      </c>
    </row>
    <row r="316" spans="22:25" x14ac:dyDescent="0.6">
      <c r="V316" s="94" t="str">
        <f t="shared" si="16"/>
        <v/>
      </c>
      <c r="W316" s="94">
        <f t="shared" si="17"/>
        <v>0</v>
      </c>
      <c r="X316" s="94" t="str">
        <f t="shared" si="19"/>
        <v/>
      </c>
      <c r="Y316" s="94">
        <f t="shared" si="18"/>
        <v>0</v>
      </c>
    </row>
    <row r="317" spans="22:25" x14ac:dyDescent="0.6">
      <c r="V317" s="94" t="str">
        <f t="shared" si="16"/>
        <v/>
      </c>
      <c r="W317" s="94">
        <f t="shared" si="17"/>
        <v>0</v>
      </c>
      <c r="X317" s="94" t="str">
        <f t="shared" si="19"/>
        <v/>
      </c>
      <c r="Y317" s="94">
        <f t="shared" si="18"/>
        <v>0</v>
      </c>
    </row>
    <row r="318" spans="22:25" x14ac:dyDescent="0.6">
      <c r="V318" s="94" t="str">
        <f t="shared" si="16"/>
        <v/>
      </c>
      <c r="W318" s="94">
        <f t="shared" si="17"/>
        <v>0</v>
      </c>
      <c r="X318" s="94" t="str">
        <f t="shared" si="19"/>
        <v/>
      </c>
      <c r="Y318" s="94">
        <f t="shared" si="18"/>
        <v>0</v>
      </c>
    </row>
    <row r="319" spans="22:25" x14ac:dyDescent="0.6">
      <c r="V319" s="94" t="str">
        <f t="shared" si="16"/>
        <v/>
      </c>
      <c r="W319" s="94">
        <f t="shared" si="17"/>
        <v>0</v>
      </c>
      <c r="X319" s="94" t="str">
        <f t="shared" si="19"/>
        <v/>
      </c>
      <c r="Y319" s="94">
        <f t="shared" si="18"/>
        <v>0</v>
      </c>
    </row>
    <row r="320" spans="22:25" x14ac:dyDescent="0.6">
      <c r="V320" s="94" t="str">
        <f t="shared" si="16"/>
        <v/>
      </c>
      <c r="W320" s="94">
        <f t="shared" si="17"/>
        <v>0</v>
      </c>
      <c r="X320" s="94" t="str">
        <f t="shared" si="19"/>
        <v/>
      </c>
      <c r="Y320" s="94">
        <f t="shared" si="18"/>
        <v>0</v>
      </c>
    </row>
    <row r="321" spans="22:25" x14ac:dyDescent="0.6">
      <c r="V321" s="94" t="str">
        <f t="shared" si="16"/>
        <v/>
      </c>
      <c r="W321" s="94">
        <f t="shared" si="17"/>
        <v>0</v>
      </c>
      <c r="X321" s="94" t="str">
        <f t="shared" si="19"/>
        <v/>
      </c>
      <c r="Y321" s="94">
        <f t="shared" si="18"/>
        <v>0</v>
      </c>
    </row>
    <row r="322" spans="22:25" x14ac:dyDescent="0.6">
      <c r="V322" s="94" t="str">
        <f t="shared" si="16"/>
        <v/>
      </c>
      <c r="W322" s="94">
        <f t="shared" si="17"/>
        <v>0</v>
      </c>
      <c r="X322" s="94" t="str">
        <f t="shared" si="19"/>
        <v/>
      </c>
      <c r="Y322" s="94">
        <f t="shared" si="18"/>
        <v>0</v>
      </c>
    </row>
    <row r="323" spans="22:25" x14ac:dyDescent="0.6">
      <c r="V323" s="94" t="str">
        <f t="shared" si="16"/>
        <v/>
      </c>
      <c r="W323" s="94">
        <f t="shared" si="17"/>
        <v>0</v>
      </c>
      <c r="X323" s="94" t="str">
        <f t="shared" si="19"/>
        <v/>
      </c>
      <c r="Y323" s="94">
        <f t="shared" si="18"/>
        <v>0</v>
      </c>
    </row>
    <row r="324" spans="22:25" x14ac:dyDescent="0.6">
      <c r="V324" s="94" t="str">
        <f t="shared" si="16"/>
        <v/>
      </c>
      <c r="W324" s="94">
        <f t="shared" si="17"/>
        <v>0</v>
      </c>
      <c r="X324" s="94" t="str">
        <f t="shared" si="19"/>
        <v/>
      </c>
      <c r="Y324" s="94">
        <f t="shared" si="18"/>
        <v>0</v>
      </c>
    </row>
    <row r="325" spans="22:25" x14ac:dyDescent="0.6">
      <c r="V325" s="94" t="str">
        <f t="shared" ref="V325:V388" si="20">IF(B325&lt;&gt;"",V324+1,"")</f>
        <v/>
      </c>
      <c r="W325" s="94">
        <f t="shared" ref="W325:W388" si="21">IFERROR(IF(ISEVEN(V325)=FALSE,0,1),0)</f>
        <v>0</v>
      </c>
      <c r="X325" s="94" t="str">
        <f t="shared" si="19"/>
        <v/>
      </c>
      <c r="Y325" s="94">
        <f t="shared" ref="Y325:Y388" si="22">IFERROR(IF(ISEVEN(X325)=FALSE,0,1),0)</f>
        <v>0</v>
      </c>
    </row>
    <row r="326" spans="22:25" x14ac:dyDescent="0.6">
      <c r="V326" s="94" t="str">
        <f t="shared" si="20"/>
        <v/>
      </c>
      <c r="W326" s="94">
        <f t="shared" si="21"/>
        <v>0</v>
      </c>
      <c r="X326" s="94" t="str">
        <f t="shared" ref="X326:X389" si="23">IF(O326&lt;&gt;"",X325+1,"")</f>
        <v/>
      </c>
      <c r="Y326" s="94">
        <f t="shared" si="22"/>
        <v>0</v>
      </c>
    </row>
    <row r="327" spans="22:25" x14ac:dyDescent="0.6">
      <c r="V327" s="94" t="str">
        <f t="shared" si="20"/>
        <v/>
      </c>
      <c r="W327" s="94">
        <f t="shared" si="21"/>
        <v>0</v>
      </c>
      <c r="X327" s="94" t="str">
        <f t="shared" si="23"/>
        <v/>
      </c>
      <c r="Y327" s="94">
        <f t="shared" si="22"/>
        <v>0</v>
      </c>
    </row>
    <row r="328" spans="22:25" x14ac:dyDescent="0.6">
      <c r="V328" s="94" t="str">
        <f t="shared" si="20"/>
        <v/>
      </c>
      <c r="W328" s="94">
        <f t="shared" si="21"/>
        <v>0</v>
      </c>
      <c r="X328" s="94" t="str">
        <f t="shared" si="23"/>
        <v/>
      </c>
      <c r="Y328" s="94">
        <f t="shared" si="22"/>
        <v>0</v>
      </c>
    </row>
    <row r="329" spans="22:25" x14ac:dyDescent="0.6">
      <c r="V329" s="94" t="str">
        <f t="shared" si="20"/>
        <v/>
      </c>
      <c r="W329" s="94">
        <f t="shared" si="21"/>
        <v>0</v>
      </c>
      <c r="X329" s="94" t="str">
        <f t="shared" si="23"/>
        <v/>
      </c>
      <c r="Y329" s="94">
        <f t="shared" si="22"/>
        <v>0</v>
      </c>
    </row>
    <row r="330" spans="22:25" x14ac:dyDescent="0.6">
      <c r="V330" s="94" t="str">
        <f t="shared" si="20"/>
        <v/>
      </c>
      <c r="W330" s="94">
        <f t="shared" si="21"/>
        <v>0</v>
      </c>
      <c r="X330" s="94" t="str">
        <f t="shared" si="23"/>
        <v/>
      </c>
      <c r="Y330" s="94">
        <f t="shared" si="22"/>
        <v>0</v>
      </c>
    </row>
    <row r="331" spans="22:25" x14ac:dyDescent="0.6">
      <c r="V331" s="94" t="str">
        <f t="shared" si="20"/>
        <v/>
      </c>
      <c r="W331" s="94">
        <f t="shared" si="21"/>
        <v>0</v>
      </c>
      <c r="X331" s="94" t="str">
        <f t="shared" si="23"/>
        <v/>
      </c>
      <c r="Y331" s="94">
        <f t="shared" si="22"/>
        <v>0</v>
      </c>
    </row>
    <row r="332" spans="22:25" x14ac:dyDescent="0.6">
      <c r="V332" s="94" t="str">
        <f t="shared" si="20"/>
        <v/>
      </c>
      <c r="W332" s="94">
        <f t="shared" si="21"/>
        <v>0</v>
      </c>
      <c r="X332" s="94" t="str">
        <f t="shared" si="23"/>
        <v/>
      </c>
      <c r="Y332" s="94">
        <f t="shared" si="22"/>
        <v>0</v>
      </c>
    </row>
    <row r="333" spans="22:25" x14ac:dyDescent="0.6">
      <c r="V333" s="94" t="str">
        <f t="shared" si="20"/>
        <v/>
      </c>
      <c r="W333" s="94">
        <f t="shared" si="21"/>
        <v>0</v>
      </c>
      <c r="X333" s="94" t="str">
        <f t="shared" si="23"/>
        <v/>
      </c>
      <c r="Y333" s="94">
        <f t="shared" si="22"/>
        <v>0</v>
      </c>
    </row>
    <row r="334" spans="22:25" x14ac:dyDescent="0.6">
      <c r="V334" s="94" t="str">
        <f t="shared" si="20"/>
        <v/>
      </c>
      <c r="W334" s="94">
        <f t="shared" si="21"/>
        <v>0</v>
      </c>
      <c r="X334" s="94" t="str">
        <f t="shared" si="23"/>
        <v/>
      </c>
      <c r="Y334" s="94">
        <f t="shared" si="22"/>
        <v>0</v>
      </c>
    </row>
    <row r="335" spans="22:25" x14ac:dyDescent="0.6">
      <c r="V335" s="94" t="str">
        <f t="shared" si="20"/>
        <v/>
      </c>
      <c r="W335" s="94">
        <f t="shared" si="21"/>
        <v>0</v>
      </c>
      <c r="X335" s="94" t="str">
        <f t="shared" si="23"/>
        <v/>
      </c>
      <c r="Y335" s="94">
        <f t="shared" si="22"/>
        <v>0</v>
      </c>
    </row>
    <row r="336" spans="22:25" x14ac:dyDescent="0.6">
      <c r="V336" s="94" t="str">
        <f t="shared" si="20"/>
        <v/>
      </c>
      <c r="W336" s="94">
        <f t="shared" si="21"/>
        <v>0</v>
      </c>
      <c r="X336" s="94" t="str">
        <f t="shared" si="23"/>
        <v/>
      </c>
      <c r="Y336" s="94">
        <f t="shared" si="22"/>
        <v>0</v>
      </c>
    </row>
    <row r="337" spans="22:25" x14ac:dyDescent="0.6">
      <c r="V337" s="94" t="str">
        <f t="shared" si="20"/>
        <v/>
      </c>
      <c r="W337" s="94">
        <f t="shared" si="21"/>
        <v>0</v>
      </c>
      <c r="X337" s="94" t="str">
        <f t="shared" si="23"/>
        <v/>
      </c>
      <c r="Y337" s="94">
        <f t="shared" si="22"/>
        <v>0</v>
      </c>
    </row>
    <row r="338" spans="22:25" x14ac:dyDescent="0.6">
      <c r="V338" s="94" t="str">
        <f t="shared" si="20"/>
        <v/>
      </c>
      <c r="W338" s="94">
        <f t="shared" si="21"/>
        <v>0</v>
      </c>
      <c r="X338" s="94" t="str">
        <f t="shared" si="23"/>
        <v/>
      </c>
      <c r="Y338" s="94">
        <f t="shared" si="22"/>
        <v>0</v>
      </c>
    </row>
    <row r="339" spans="22:25" x14ac:dyDescent="0.6">
      <c r="V339" s="94" t="str">
        <f t="shared" si="20"/>
        <v/>
      </c>
      <c r="W339" s="94">
        <f t="shared" si="21"/>
        <v>0</v>
      </c>
      <c r="X339" s="94" t="str">
        <f t="shared" si="23"/>
        <v/>
      </c>
      <c r="Y339" s="94">
        <f t="shared" si="22"/>
        <v>0</v>
      </c>
    </row>
    <row r="340" spans="22:25" x14ac:dyDescent="0.6">
      <c r="V340" s="94" t="str">
        <f t="shared" si="20"/>
        <v/>
      </c>
      <c r="W340" s="94">
        <f t="shared" si="21"/>
        <v>0</v>
      </c>
      <c r="X340" s="94" t="str">
        <f t="shared" si="23"/>
        <v/>
      </c>
      <c r="Y340" s="94">
        <f t="shared" si="22"/>
        <v>0</v>
      </c>
    </row>
    <row r="341" spans="22:25" x14ac:dyDescent="0.6">
      <c r="V341" s="94" t="str">
        <f t="shared" si="20"/>
        <v/>
      </c>
      <c r="W341" s="94">
        <f t="shared" si="21"/>
        <v>0</v>
      </c>
      <c r="X341" s="94" t="str">
        <f t="shared" si="23"/>
        <v/>
      </c>
      <c r="Y341" s="94">
        <f t="shared" si="22"/>
        <v>0</v>
      </c>
    </row>
    <row r="342" spans="22:25" x14ac:dyDescent="0.6">
      <c r="V342" s="94" t="str">
        <f t="shared" si="20"/>
        <v/>
      </c>
      <c r="W342" s="94">
        <f t="shared" si="21"/>
        <v>0</v>
      </c>
      <c r="X342" s="94" t="str">
        <f t="shared" si="23"/>
        <v/>
      </c>
      <c r="Y342" s="94">
        <f t="shared" si="22"/>
        <v>0</v>
      </c>
    </row>
    <row r="343" spans="22:25" x14ac:dyDescent="0.6">
      <c r="V343" s="94" t="str">
        <f t="shared" si="20"/>
        <v/>
      </c>
      <c r="W343" s="94">
        <f t="shared" si="21"/>
        <v>0</v>
      </c>
      <c r="X343" s="94" t="str">
        <f t="shared" si="23"/>
        <v/>
      </c>
      <c r="Y343" s="94">
        <f t="shared" si="22"/>
        <v>0</v>
      </c>
    </row>
    <row r="344" spans="22:25" x14ac:dyDescent="0.6">
      <c r="V344" s="94" t="str">
        <f t="shared" si="20"/>
        <v/>
      </c>
      <c r="W344" s="94">
        <f t="shared" si="21"/>
        <v>0</v>
      </c>
      <c r="X344" s="94" t="str">
        <f t="shared" si="23"/>
        <v/>
      </c>
      <c r="Y344" s="94">
        <f t="shared" si="22"/>
        <v>0</v>
      </c>
    </row>
    <row r="345" spans="22:25" x14ac:dyDescent="0.6">
      <c r="V345" s="94" t="str">
        <f t="shared" si="20"/>
        <v/>
      </c>
      <c r="W345" s="94">
        <f t="shared" si="21"/>
        <v>0</v>
      </c>
      <c r="X345" s="94" t="str">
        <f t="shared" si="23"/>
        <v/>
      </c>
      <c r="Y345" s="94">
        <f t="shared" si="22"/>
        <v>0</v>
      </c>
    </row>
    <row r="346" spans="22:25" x14ac:dyDescent="0.6">
      <c r="V346" s="94" t="str">
        <f t="shared" si="20"/>
        <v/>
      </c>
      <c r="W346" s="94">
        <f t="shared" si="21"/>
        <v>0</v>
      </c>
      <c r="X346" s="94" t="str">
        <f t="shared" si="23"/>
        <v/>
      </c>
      <c r="Y346" s="94">
        <f t="shared" si="22"/>
        <v>0</v>
      </c>
    </row>
    <row r="347" spans="22:25" x14ac:dyDescent="0.6">
      <c r="V347" s="94" t="str">
        <f t="shared" si="20"/>
        <v/>
      </c>
      <c r="W347" s="94">
        <f t="shared" si="21"/>
        <v>0</v>
      </c>
      <c r="X347" s="94" t="str">
        <f t="shared" si="23"/>
        <v/>
      </c>
      <c r="Y347" s="94">
        <f t="shared" si="22"/>
        <v>0</v>
      </c>
    </row>
    <row r="348" spans="22:25" x14ac:dyDescent="0.6">
      <c r="V348" s="94" t="str">
        <f t="shared" si="20"/>
        <v/>
      </c>
      <c r="W348" s="94">
        <f t="shared" si="21"/>
        <v>0</v>
      </c>
      <c r="X348" s="94" t="str">
        <f t="shared" si="23"/>
        <v/>
      </c>
      <c r="Y348" s="94">
        <f t="shared" si="22"/>
        <v>0</v>
      </c>
    </row>
    <row r="349" spans="22:25" x14ac:dyDescent="0.6">
      <c r="V349" s="94" t="str">
        <f t="shared" si="20"/>
        <v/>
      </c>
      <c r="W349" s="94">
        <f t="shared" si="21"/>
        <v>0</v>
      </c>
      <c r="X349" s="94" t="str">
        <f t="shared" si="23"/>
        <v/>
      </c>
      <c r="Y349" s="94">
        <f t="shared" si="22"/>
        <v>0</v>
      </c>
    </row>
    <row r="350" spans="22:25" x14ac:dyDescent="0.6">
      <c r="V350" s="94" t="str">
        <f t="shared" si="20"/>
        <v/>
      </c>
      <c r="W350" s="94">
        <f t="shared" si="21"/>
        <v>0</v>
      </c>
      <c r="X350" s="94" t="str">
        <f t="shared" si="23"/>
        <v/>
      </c>
      <c r="Y350" s="94">
        <f t="shared" si="22"/>
        <v>0</v>
      </c>
    </row>
    <row r="351" spans="22:25" x14ac:dyDescent="0.6">
      <c r="V351" s="94" t="str">
        <f t="shared" si="20"/>
        <v/>
      </c>
      <c r="W351" s="94">
        <f t="shared" si="21"/>
        <v>0</v>
      </c>
      <c r="X351" s="94" t="str">
        <f t="shared" si="23"/>
        <v/>
      </c>
      <c r="Y351" s="94">
        <f t="shared" si="22"/>
        <v>0</v>
      </c>
    </row>
    <row r="352" spans="22:25" x14ac:dyDescent="0.6">
      <c r="V352" s="94" t="str">
        <f t="shared" si="20"/>
        <v/>
      </c>
      <c r="W352" s="94">
        <f t="shared" si="21"/>
        <v>0</v>
      </c>
      <c r="X352" s="94" t="str">
        <f t="shared" si="23"/>
        <v/>
      </c>
      <c r="Y352" s="94">
        <f t="shared" si="22"/>
        <v>0</v>
      </c>
    </row>
    <row r="353" spans="22:25" x14ac:dyDescent="0.6">
      <c r="V353" s="94" t="str">
        <f t="shared" si="20"/>
        <v/>
      </c>
      <c r="W353" s="94">
        <f t="shared" si="21"/>
        <v>0</v>
      </c>
      <c r="X353" s="94" t="str">
        <f t="shared" si="23"/>
        <v/>
      </c>
      <c r="Y353" s="94">
        <f t="shared" si="22"/>
        <v>0</v>
      </c>
    </row>
    <row r="354" spans="22:25" x14ac:dyDescent="0.6">
      <c r="V354" s="94" t="str">
        <f t="shared" si="20"/>
        <v/>
      </c>
      <c r="W354" s="94">
        <f t="shared" si="21"/>
        <v>0</v>
      </c>
      <c r="X354" s="94" t="str">
        <f t="shared" si="23"/>
        <v/>
      </c>
      <c r="Y354" s="94">
        <f t="shared" si="22"/>
        <v>0</v>
      </c>
    </row>
    <row r="355" spans="22:25" x14ac:dyDescent="0.6">
      <c r="V355" s="94" t="str">
        <f t="shared" si="20"/>
        <v/>
      </c>
      <c r="W355" s="94">
        <f t="shared" si="21"/>
        <v>0</v>
      </c>
      <c r="X355" s="94" t="str">
        <f t="shared" si="23"/>
        <v/>
      </c>
      <c r="Y355" s="94">
        <f t="shared" si="22"/>
        <v>0</v>
      </c>
    </row>
    <row r="356" spans="22:25" x14ac:dyDescent="0.6">
      <c r="V356" s="94" t="str">
        <f t="shared" si="20"/>
        <v/>
      </c>
      <c r="W356" s="94">
        <f t="shared" si="21"/>
        <v>0</v>
      </c>
      <c r="X356" s="94" t="str">
        <f t="shared" si="23"/>
        <v/>
      </c>
      <c r="Y356" s="94">
        <f t="shared" si="22"/>
        <v>0</v>
      </c>
    </row>
    <row r="357" spans="22:25" x14ac:dyDescent="0.6">
      <c r="V357" s="94" t="str">
        <f t="shared" si="20"/>
        <v/>
      </c>
      <c r="W357" s="94">
        <f t="shared" si="21"/>
        <v>0</v>
      </c>
      <c r="X357" s="94" t="str">
        <f t="shared" si="23"/>
        <v/>
      </c>
      <c r="Y357" s="94">
        <f t="shared" si="22"/>
        <v>0</v>
      </c>
    </row>
    <row r="358" spans="22:25" x14ac:dyDescent="0.6">
      <c r="V358" s="94" t="str">
        <f t="shared" si="20"/>
        <v/>
      </c>
      <c r="W358" s="94">
        <f t="shared" si="21"/>
        <v>0</v>
      </c>
      <c r="X358" s="94" t="str">
        <f t="shared" si="23"/>
        <v/>
      </c>
      <c r="Y358" s="94">
        <f t="shared" si="22"/>
        <v>0</v>
      </c>
    </row>
    <row r="359" spans="22:25" x14ac:dyDescent="0.6">
      <c r="V359" s="94" t="str">
        <f t="shared" si="20"/>
        <v/>
      </c>
      <c r="W359" s="94">
        <f t="shared" si="21"/>
        <v>0</v>
      </c>
      <c r="X359" s="94" t="str">
        <f t="shared" si="23"/>
        <v/>
      </c>
      <c r="Y359" s="94">
        <f t="shared" si="22"/>
        <v>0</v>
      </c>
    </row>
    <row r="360" spans="22:25" x14ac:dyDescent="0.6">
      <c r="V360" s="94" t="str">
        <f t="shared" si="20"/>
        <v/>
      </c>
      <c r="W360" s="94">
        <f t="shared" si="21"/>
        <v>0</v>
      </c>
      <c r="X360" s="94" t="str">
        <f t="shared" si="23"/>
        <v/>
      </c>
      <c r="Y360" s="94">
        <f t="shared" si="22"/>
        <v>0</v>
      </c>
    </row>
    <row r="361" spans="22:25" x14ac:dyDescent="0.6">
      <c r="V361" s="94" t="str">
        <f t="shared" si="20"/>
        <v/>
      </c>
      <c r="W361" s="94">
        <f t="shared" si="21"/>
        <v>0</v>
      </c>
      <c r="X361" s="94" t="str">
        <f t="shared" si="23"/>
        <v/>
      </c>
      <c r="Y361" s="94">
        <f t="shared" si="22"/>
        <v>0</v>
      </c>
    </row>
    <row r="362" spans="22:25" x14ac:dyDescent="0.6">
      <c r="V362" s="94" t="str">
        <f t="shared" si="20"/>
        <v/>
      </c>
      <c r="W362" s="94">
        <f t="shared" si="21"/>
        <v>0</v>
      </c>
      <c r="X362" s="94" t="str">
        <f t="shared" si="23"/>
        <v/>
      </c>
      <c r="Y362" s="94">
        <f t="shared" si="22"/>
        <v>0</v>
      </c>
    </row>
    <row r="363" spans="22:25" x14ac:dyDescent="0.6">
      <c r="V363" s="94" t="str">
        <f t="shared" si="20"/>
        <v/>
      </c>
      <c r="W363" s="94">
        <f t="shared" si="21"/>
        <v>0</v>
      </c>
      <c r="X363" s="94" t="str">
        <f t="shared" si="23"/>
        <v/>
      </c>
      <c r="Y363" s="94">
        <f t="shared" si="22"/>
        <v>0</v>
      </c>
    </row>
    <row r="364" spans="22:25" x14ac:dyDescent="0.6">
      <c r="V364" s="94" t="str">
        <f t="shared" si="20"/>
        <v/>
      </c>
      <c r="W364" s="94">
        <f t="shared" si="21"/>
        <v>0</v>
      </c>
      <c r="X364" s="94" t="str">
        <f t="shared" si="23"/>
        <v/>
      </c>
      <c r="Y364" s="94">
        <f t="shared" si="22"/>
        <v>0</v>
      </c>
    </row>
    <row r="365" spans="22:25" x14ac:dyDescent="0.6">
      <c r="V365" s="94" t="str">
        <f t="shared" si="20"/>
        <v/>
      </c>
      <c r="W365" s="94">
        <f t="shared" si="21"/>
        <v>0</v>
      </c>
      <c r="X365" s="94" t="str">
        <f t="shared" si="23"/>
        <v/>
      </c>
      <c r="Y365" s="94">
        <f t="shared" si="22"/>
        <v>0</v>
      </c>
    </row>
    <row r="366" spans="22:25" x14ac:dyDescent="0.6">
      <c r="V366" s="94" t="str">
        <f t="shared" si="20"/>
        <v/>
      </c>
      <c r="W366" s="94">
        <f t="shared" si="21"/>
        <v>0</v>
      </c>
      <c r="X366" s="94" t="str">
        <f t="shared" si="23"/>
        <v/>
      </c>
      <c r="Y366" s="94">
        <f t="shared" si="22"/>
        <v>0</v>
      </c>
    </row>
    <row r="367" spans="22:25" x14ac:dyDescent="0.6">
      <c r="V367" s="94" t="str">
        <f t="shared" si="20"/>
        <v/>
      </c>
      <c r="W367" s="94">
        <f t="shared" si="21"/>
        <v>0</v>
      </c>
      <c r="X367" s="94" t="str">
        <f t="shared" si="23"/>
        <v/>
      </c>
      <c r="Y367" s="94">
        <f t="shared" si="22"/>
        <v>0</v>
      </c>
    </row>
    <row r="368" spans="22:25" x14ac:dyDescent="0.6">
      <c r="V368" s="94" t="str">
        <f t="shared" si="20"/>
        <v/>
      </c>
      <c r="W368" s="94">
        <f t="shared" si="21"/>
        <v>0</v>
      </c>
      <c r="X368" s="94" t="str">
        <f t="shared" si="23"/>
        <v/>
      </c>
      <c r="Y368" s="94">
        <f t="shared" si="22"/>
        <v>0</v>
      </c>
    </row>
    <row r="369" spans="22:25" x14ac:dyDescent="0.6">
      <c r="V369" s="94" t="str">
        <f t="shared" si="20"/>
        <v/>
      </c>
      <c r="W369" s="94">
        <f t="shared" si="21"/>
        <v>0</v>
      </c>
      <c r="X369" s="94" t="str">
        <f t="shared" si="23"/>
        <v/>
      </c>
      <c r="Y369" s="94">
        <f t="shared" si="22"/>
        <v>0</v>
      </c>
    </row>
    <row r="370" spans="22:25" x14ac:dyDescent="0.6">
      <c r="V370" s="94" t="str">
        <f t="shared" si="20"/>
        <v/>
      </c>
      <c r="W370" s="94">
        <f t="shared" si="21"/>
        <v>0</v>
      </c>
      <c r="X370" s="94" t="str">
        <f t="shared" si="23"/>
        <v/>
      </c>
      <c r="Y370" s="94">
        <f t="shared" si="22"/>
        <v>0</v>
      </c>
    </row>
    <row r="371" spans="22:25" x14ac:dyDescent="0.6">
      <c r="V371" s="94" t="str">
        <f t="shared" si="20"/>
        <v/>
      </c>
      <c r="W371" s="94">
        <f t="shared" si="21"/>
        <v>0</v>
      </c>
      <c r="X371" s="94" t="str">
        <f t="shared" si="23"/>
        <v/>
      </c>
      <c r="Y371" s="94">
        <f t="shared" si="22"/>
        <v>0</v>
      </c>
    </row>
    <row r="372" spans="22:25" x14ac:dyDescent="0.6">
      <c r="V372" s="94" t="str">
        <f t="shared" si="20"/>
        <v/>
      </c>
      <c r="W372" s="94">
        <f t="shared" si="21"/>
        <v>0</v>
      </c>
      <c r="X372" s="94" t="str">
        <f t="shared" si="23"/>
        <v/>
      </c>
      <c r="Y372" s="94">
        <f t="shared" si="22"/>
        <v>0</v>
      </c>
    </row>
    <row r="373" spans="22:25" x14ac:dyDescent="0.6">
      <c r="V373" s="94" t="str">
        <f t="shared" si="20"/>
        <v/>
      </c>
      <c r="W373" s="94">
        <f t="shared" si="21"/>
        <v>0</v>
      </c>
      <c r="X373" s="94" t="str">
        <f t="shared" si="23"/>
        <v/>
      </c>
      <c r="Y373" s="94">
        <f t="shared" si="22"/>
        <v>0</v>
      </c>
    </row>
    <row r="374" spans="22:25" x14ac:dyDescent="0.6">
      <c r="V374" s="94" t="str">
        <f t="shared" si="20"/>
        <v/>
      </c>
      <c r="W374" s="94">
        <f t="shared" si="21"/>
        <v>0</v>
      </c>
      <c r="X374" s="94" t="str">
        <f t="shared" si="23"/>
        <v/>
      </c>
      <c r="Y374" s="94">
        <f t="shared" si="22"/>
        <v>0</v>
      </c>
    </row>
    <row r="375" spans="22:25" x14ac:dyDescent="0.6">
      <c r="V375" s="94" t="str">
        <f t="shared" si="20"/>
        <v/>
      </c>
      <c r="W375" s="94">
        <f t="shared" si="21"/>
        <v>0</v>
      </c>
      <c r="X375" s="94" t="str">
        <f t="shared" si="23"/>
        <v/>
      </c>
      <c r="Y375" s="94">
        <f t="shared" si="22"/>
        <v>0</v>
      </c>
    </row>
    <row r="376" spans="22:25" x14ac:dyDescent="0.6">
      <c r="V376" s="94" t="str">
        <f t="shared" si="20"/>
        <v/>
      </c>
      <c r="W376" s="94">
        <f t="shared" si="21"/>
        <v>0</v>
      </c>
      <c r="X376" s="94" t="str">
        <f t="shared" si="23"/>
        <v/>
      </c>
      <c r="Y376" s="94">
        <f t="shared" si="22"/>
        <v>0</v>
      </c>
    </row>
    <row r="377" spans="22:25" x14ac:dyDescent="0.6">
      <c r="V377" s="94" t="str">
        <f t="shared" si="20"/>
        <v/>
      </c>
      <c r="W377" s="94">
        <f t="shared" si="21"/>
        <v>0</v>
      </c>
      <c r="X377" s="94" t="str">
        <f t="shared" si="23"/>
        <v/>
      </c>
      <c r="Y377" s="94">
        <f t="shared" si="22"/>
        <v>0</v>
      </c>
    </row>
    <row r="378" spans="22:25" x14ac:dyDescent="0.6">
      <c r="V378" s="94" t="str">
        <f t="shared" si="20"/>
        <v/>
      </c>
      <c r="W378" s="94">
        <f t="shared" si="21"/>
        <v>0</v>
      </c>
      <c r="X378" s="94" t="str">
        <f t="shared" si="23"/>
        <v/>
      </c>
      <c r="Y378" s="94">
        <f t="shared" si="22"/>
        <v>0</v>
      </c>
    </row>
    <row r="379" spans="22:25" x14ac:dyDescent="0.6">
      <c r="V379" s="94" t="str">
        <f t="shared" si="20"/>
        <v/>
      </c>
      <c r="W379" s="94">
        <f t="shared" si="21"/>
        <v>0</v>
      </c>
      <c r="X379" s="94" t="str">
        <f t="shared" si="23"/>
        <v/>
      </c>
      <c r="Y379" s="94">
        <f t="shared" si="22"/>
        <v>0</v>
      </c>
    </row>
    <row r="380" spans="22:25" x14ac:dyDescent="0.6">
      <c r="V380" s="94" t="str">
        <f t="shared" si="20"/>
        <v/>
      </c>
      <c r="W380" s="94">
        <f t="shared" si="21"/>
        <v>0</v>
      </c>
      <c r="X380" s="94" t="str">
        <f t="shared" si="23"/>
        <v/>
      </c>
      <c r="Y380" s="94">
        <f t="shared" si="22"/>
        <v>0</v>
      </c>
    </row>
    <row r="381" spans="22:25" x14ac:dyDescent="0.6">
      <c r="V381" s="94" t="str">
        <f t="shared" si="20"/>
        <v/>
      </c>
      <c r="W381" s="94">
        <f t="shared" si="21"/>
        <v>0</v>
      </c>
      <c r="X381" s="94" t="str">
        <f t="shared" si="23"/>
        <v/>
      </c>
      <c r="Y381" s="94">
        <f t="shared" si="22"/>
        <v>0</v>
      </c>
    </row>
    <row r="382" spans="22:25" x14ac:dyDescent="0.6">
      <c r="V382" s="94" t="str">
        <f t="shared" si="20"/>
        <v/>
      </c>
      <c r="W382" s="94">
        <f t="shared" si="21"/>
        <v>0</v>
      </c>
      <c r="X382" s="94" t="str">
        <f t="shared" si="23"/>
        <v/>
      </c>
      <c r="Y382" s="94">
        <f t="shared" si="22"/>
        <v>0</v>
      </c>
    </row>
    <row r="383" spans="22:25" x14ac:dyDescent="0.6">
      <c r="V383" s="94" t="str">
        <f t="shared" si="20"/>
        <v/>
      </c>
      <c r="W383" s="94">
        <f t="shared" si="21"/>
        <v>0</v>
      </c>
      <c r="X383" s="94" t="str">
        <f t="shared" si="23"/>
        <v/>
      </c>
      <c r="Y383" s="94">
        <f t="shared" si="22"/>
        <v>0</v>
      </c>
    </row>
    <row r="384" spans="22:25" x14ac:dyDescent="0.6">
      <c r="V384" s="94" t="str">
        <f t="shared" si="20"/>
        <v/>
      </c>
      <c r="W384" s="94">
        <f t="shared" si="21"/>
        <v>0</v>
      </c>
      <c r="X384" s="94" t="str">
        <f t="shared" si="23"/>
        <v/>
      </c>
      <c r="Y384" s="94">
        <f t="shared" si="22"/>
        <v>0</v>
      </c>
    </row>
    <row r="385" spans="22:25" x14ac:dyDescent="0.6">
      <c r="V385" s="94" t="str">
        <f t="shared" si="20"/>
        <v/>
      </c>
      <c r="W385" s="94">
        <f t="shared" si="21"/>
        <v>0</v>
      </c>
      <c r="X385" s="94" t="str">
        <f t="shared" si="23"/>
        <v/>
      </c>
      <c r="Y385" s="94">
        <f t="shared" si="22"/>
        <v>0</v>
      </c>
    </row>
    <row r="386" spans="22:25" x14ac:dyDescent="0.6">
      <c r="V386" s="94" t="str">
        <f t="shared" si="20"/>
        <v/>
      </c>
      <c r="W386" s="94">
        <f t="shared" si="21"/>
        <v>0</v>
      </c>
      <c r="X386" s="94" t="str">
        <f t="shared" si="23"/>
        <v/>
      </c>
      <c r="Y386" s="94">
        <f t="shared" si="22"/>
        <v>0</v>
      </c>
    </row>
    <row r="387" spans="22:25" x14ac:dyDescent="0.6">
      <c r="V387" s="94" t="str">
        <f t="shared" si="20"/>
        <v/>
      </c>
      <c r="W387" s="94">
        <f t="shared" si="21"/>
        <v>0</v>
      </c>
      <c r="X387" s="94" t="str">
        <f t="shared" si="23"/>
        <v/>
      </c>
      <c r="Y387" s="94">
        <f t="shared" si="22"/>
        <v>0</v>
      </c>
    </row>
    <row r="388" spans="22:25" x14ac:dyDescent="0.6">
      <c r="V388" s="94" t="str">
        <f t="shared" si="20"/>
        <v/>
      </c>
      <c r="W388" s="94">
        <f t="shared" si="21"/>
        <v>0</v>
      </c>
      <c r="X388" s="94" t="str">
        <f t="shared" si="23"/>
        <v/>
      </c>
      <c r="Y388" s="94">
        <f t="shared" si="22"/>
        <v>0</v>
      </c>
    </row>
    <row r="389" spans="22:25" x14ac:dyDescent="0.6">
      <c r="V389" s="94" t="str">
        <f t="shared" ref="V389:V452" si="24">IF(B389&lt;&gt;"",V388+1,"")</f>
        <v/>
      </c>
      <c r="W389" s="94">
        <f t="shared" ref="W389:W452" si="25">IFERROR(IF(ISEVEN(V389)=FALSE,0,1),0)</f>
        <v>0</v>
      </c>
      <c r="X389" s="94" t="str">
        <f t="shared" si="23"/>
        <v/>
      </c>
      <c r="Y389" s="94">
        <f t="shared" ref="Y389:Y452" si="26">IFERROR(IF(ISEVEN(X389)=FALSE,0,1),0)</f>
        <v>0</v>
      </c>
    </row>
    <row r="390" spans="22:25" x14ac:dyDescent="0.6">
      <c r="V390" s="94" t="str">
        <f t="shared" si="24"/>
        <v/>
      </c>
      <c r="W390" s="94">
        <f t="shared" si="25"/>
        <v>0</v>
      </c>
      <c r="X390" s="94" t="str">
        <f t="shared" ref="X390:X453" si="27">IF(O390&lt;&gt;"",X389+1,"")</f>
        <v/>
      </c>
      <c r="Y390" s="94">
        <f t="shared" si="26"/>
        <v>0</v>
      </c>
    </row>
    <row r="391" spans="22:25" x14ac:dyDescent="0.6">
      <c r="V391" s="94" t="str">
        <f t="shared" si="24"/>
        <v/>
      </c>
      <c r="W391" s="94">
        <f t="shared" si="25"/>
        <v>0</v>
      </c>
      <c r="X391" s="94" t="str">
        <f t="shared" si="27"/>
        <v/>
      </c>
      <c r="Y391" s="94">
        <f t="shared" si="26"/>
        <v>0</v>
      </c>
    </row>
    <row r="392" spans="22:25" x14ac:dyDescent="0.6">
      <c r="V392" s="94" t="str">
        <f t="shared" si="24"/>
        <v/>
      </c>
      <c r="W392" s="94">
        <f t="shared" si="25"/>
        <v>0</v>
      </c>
      <c r="X392" s="94" t="str">
        <f t="shared" si="27"/>
        <v/>
      </c>
      <c r="Y392" s="94">
        <f t="shared" si="26"/>
        <v>0</v>
      </c>
    </row>
    <row r="393" spans="22:25" x14ac:dyDescent="0.6">
      <c r="V393" s="94" t="str">
        <f t="shared" si="24"/>
        <v/>
      </c>
      <c r="W393" s="94">
        <f t="shared" si="25"/>
        <v>0</v>
      </c>
      <c r="X393" s="94" t="str">
        <f t="shared" si="27"/>
        <v/>
      </c>
      <c r="Y393" s="94">
        <f t="shared" si="26"/>
        <v>0</v>
      </c>
    </row>
    <row r="394" spans="22:25" x14ac:dyDescent="0.6">
      <c r="V394" s="94" t="str">
        <f t="shared" si="24"/>
        <v/>
      </c>
      <c r="W394" s="94">
        <f t="shared" si="25"/>
        <v>0</v>
      </c>
      <c r="X394" s="94" t="str">
        <f t="shared" si="27"/>
        <v/>
      </c>
      <c r="Y394" s="94">
        <f t="shared" si="26"/>
        <v>0</v>
      </c>
    </row>
    <row r="395" spans="22:25" x14ac:dyDescent="0.6">
      <c r="V395" s="94" t="str">
        <f t="shared" si="24"/>
        <v/>
      </c>
      <c r="W395" s="94">
        <f t="shared" si="25"/>
        <v>0</v>
      </c>
      <c r="X395" s="94" t="str">
        <f t="shared" si="27"/>
        <v/>
      </c>
      <c r="Y395" s="94">
        <f t="shared" si="26"/>
        <v>0</v>
      </c>
    </row>
    <row r="396" spans="22:25" x14ac:dyDescent="0.6">
      <c r="V396" s="94" t="str">
        <f t="shared" si="24"/>
        <v/>
      </c>
      <c r="W396" s="94">
        <f t="shared" si="25"/>
        <v>0</v>
      </c>
      <c r="X396" s="94" t="str">
        <f t="shared" si="27"/>
        <v/>
      </c>
      <c r="Y396" s="94">
        <f t="shared" si="26"/>
        <v>0</v>
      </c>
    </row>
    <row r="397" spans="22:25" x14ac:dyDescent="0.6">
      <c r="V397" s="94" t="str">
        <f t="shared" si="24"/>
        <v/>
      </c>
      <c r="W397" s="94">
        <f t="shared" si="25"/>
        <v>0</v>
      </c>
      <c r="X397" s="94" t="str">
        <f t="shared" si="27"/>
        <v/>
      </c>
      <c r="Y397" s="94">
        <f t="shared" si="26"/>
        <v>0</v>
      </c>
    </row>
    <row r="398" spans="22:25" x14ac:dyDescent="0.6">
      <c r="V398" s="94" t="str">
        <f t="shared" si="24"/>
        <v/>
      </c>
      <c r="W398" s="94">
        <f t="shared" si="25"/>
        <v>0</v>
      </c>
      <c r="X398" s="94" t="str">
        <f t="shared" si="27"/>
        <v/>
      </c>
      <c r="Y398" s="94">
        <f t="shared" si="26"/>
        <v>0</v>
      </c>
    </row>
    <row r="399" spans="22:25" x14ac:dyDescent="0.6">
      <c r="V399" s="94" t="str">
        <f t="shared" si="24"/>
        <v/>
      </c>
      <c r="W399" s="94">
        <f t="shared" si="25"/>
        <v>0</v>
      </c>
      <c r="X399" s="94" t="str">
        <f t="shared" si="27"/>
        <v/>
      </c>
      <c r="Y399" s="94">
        <f t="shared" si="26"/>
        <v>0</v>
      </c>
    </row>
    <row r="400" spans="22:25" x14ac:dyDescent="0.6">
      <c r="V400" s="94" t="str">
        <f t="shared" si="24"/>
        <v/>
      </c>
      <c r="W400" s="94">
        <f t="shared" si="25"/>
        <v>0</v>
      </c>
      <c r="X400" s="94" t="str">
        <f t="shared" si="27"/>
        <v/>
      </c>
      <c r="Y400" s="94">
        <f t="shared" si="26"/>
        <v>0</v>
      </c>
    </row>
    <row r="401" spans="22:25" x14ac:dyDescent="0.6">
      <c r="V401" s="94" t="str">
        <f t="shared" si="24"/>
        <v/>
      </c>
      <c r="W401" s="94">
        <f t="shared" si="25"/>
        <v>0</v>
      </c>
      <c r="X401" s="94" t="str">
        <f t="shared" si="27"/>
        <v/>
      </c>
      <c r="Y401" s="94">
        <f t="shared" si="26"/>
        <v>0</v>
      </c>
    </row>
    <row r="402" spans="22:25" x14ac:dyDescent="0.6">
      <c r="V402" s="94" t="str">
        <f t="shared" si="24"/>
        <v/>
      </c>
      <c r="W402" s="94">
        <f t="shared" si="25"/>
        <v>0</v>
      </c>
      <c r="X402" s="94" t="str">
        <f t="shared" si="27"/>
        <v/>
      </c>
      <c r="Y402" s="94">
        <f t="shared" si="26"/>
        <v>0</v>
      </c>
    </row>
    <row r="403" spans="22:25" x14ac:dyDescent="0.6">
      <c r="V403" s="94" t="str">
        <f t="shared" si="24"/>
        <v/>
      </c>
      <c r="W403" s="94">
        <f t="shared" si="25"/>
        <v>0</v>
      </c>
      <c r="X403" s="94" t="str">
        <f t="shared" si="27"/>
        <v/>
      </c>
      <c r="Y403" s="94">
        <f t="shared" si="26"/>
        <v>0</v>
      </c>
    </row>
    <row r="404" spans="22:25" x14ac:dyDescent="0.6">
      <c r="V404" s="94" t="str">
        <f t="shared" si="24"/>
        <v/>
      </c>
      <c r="W404" s="94">
        <f t="shared" si="25"/>
        <v>0</v>
      </c>
      <c r="X404" s="94" t="str">
        <f t="shared" si="27"/>
        <v/>
      </c>
      <c r="Y404" s="94">
        <f t="shared" si="26"/>
        <v>0</v>
      </c>
    </row>
    <row r="405" spans="22:25" x14ac:dyDescent="0.6">
      <c r="V405" s="94" t="str">
        <f t="shared" si="24"/>
        <v/>
      </c>
      <c r="W405" s="94">
        <f t="shared" si="25"/>
        <v>0</v>
      </c>
      <c r="X405" s="94" t="str">
        <f t="shared" si="27"/>
        <v/>
      </c>
      <c r="Y405" s="94">
        <f t="shared" si="26"/>
        <v>0</v>
      </c>
    </row>
    <row r="406" spans="22:25" x14ac:dyDescent="0.6">
      <c r="V406" s="94" t="str">
        <f t="shared" si="24"/>
        <v/>
      </c>
      <c r="W406" s="94">
        <f t="shared" si="25"/>
        <v>0</v>
      </c>
      <c r="X406" s="94" t="str">
        <f t="shared" si="27"/>
        <v/>
      </c>
      <c r="Y406" s="94">
        <f t="shared" si="26"/>
        <v>0</v>
      </c>
    </row>
    <row r="407" spans="22:25" x14ac:dyDescent="0.6">
      <c r="V407" s="94" t="str">
        <f t="shared" si="24"/>
        <v/>
      </c>
      <c r="W407" s="94">
        <f t="shared" si="25"/>
        <v>0</v>
      </c>
      <c r="X407" s="94" t="str">
        <f t="shared" si="27"/>
        <v/>
      </c>
      <c r="Y407" s="94">
        <f t="shared" si="26"/>
        <v>0</v>
      </c>
    </row>
    <row r="408" spans="22:25" x14ac:dyDescent="0.6">
      <c r="V408" s="94" t="str">
        <f t="shared" si="24"/>
        <v/>
      </c>
      <c r="W408" s="94">
        <f t="shared" si="25"/>
        <v>0</v>
      </c>
      <c r="X408" s="94" t="str">
        <f t="shared" si="27"/>
        <v/>
      </c>
      <c r="Y408" s="94">
        <f t="shared" si="26"/>
        <v>0</v>
      </c>
    </row>
    <row r="409" spans="22:25" x14ac:dyDescent="0.6">
      <c r="V409" s="94" t="str">
        <f t="shared" si="24"/>
        <v/>
      </c>
      <c r="W409" s="94">
        <f t="shared" si="25"/>
        <v>0</v>
      </c>
      <c r="X409" s="94" t="str">
        <f t="shared" si="27"/>
        <v/>
      </c>
      <c r="Y409" s="94">
        <f t="shared" si="26"/>
        <v>0</v>
      </c>
    </row>
    <row r="410" spans="22:25" x14ac:dyDescent="0.6">
      <c r="V410" s="94" t="str">
        <f t="shared" si="24"/>
        <v/>
      </c>
      <c r="W410" s="94">
        <f t="shared" si="25"/>
        <v>0</v>
      </c>
      <c r="X410" s="94" t="str">
        <f t="shared" si="27"/>
        <v/>
      </c>
      <c r="Y410" s="94">
        <f t="shared" si="26"/>
        <v>0</v>
      </c>
    </row>
    <row r="411" spans="22:25" x14ac:dyDescent="0.6">
      <c r="V411" s="94" t="str">
        <f t="shared" si="24"/>
        <v/>
      </c>
      <c r="W411" s="94">
        <f t="shared" si="25"/>
        <v>0</v>
      </c>
      <c r="X411" s="94" t="str">
        <f t="shared" si="27"/>
        <v/>
      </c>
      <c r="Y411" s="94">
        <f t="shared" si="26"/>
        <v>0</v>
      </c>
    </row>
    <row r="412" spans="22:25" x14ac:dyDescent="0.6">
      <c r="V412" s="94" t="str">
        <f t="shared" si="24"/>
        <v/>
      </c>
      <c r="W412" s="94">
        <f t="shared" si="25"/>
        <v>0</v>
      </c>
      <c r="X412" s="94" t="str">
        <f t="shared" si="27"/>
        <v/>
      </c>
      <c r="Y412" s="94">
        <f t="shared" si="26"/>
        <v>0</v>
      </c>
    </row>
    <row r="413" spans="22:25" x14ac:dyDescent="0.6">
      <c r="V413" s="94" t="str">
        <f t="shared" si="24"/>
        <v/>
      </c>
      <c r="W413" s="94">
        <f t="shared" si="25"/>
        <v>0</v>
      </c>
      <c r="X413" s="94" t="str">
        <f t="shared" si="27"/>
        <v/>
      </c>
      <c r="Y413" s="94">
        <f t="shared" si="26"/>
        <v>0</v>
      </c>
    </row>
    <row r="414" spans="22:25" x14ac:dyDescent="0.6">
      <c r="V414" s="94" t="str">
        <f t="shared" si="24"/>
        <v/>
      </c>
      <c r="W414" s="94">
        <f t="shared" si="25"/>
        <v>0</v>
      </c>
      <c r="X414" s="94" t="str">
        <f t="shared" si="27"/>
        <v/>
      </c>
      <c r="Y414" s="94">
        <f t="shared" si="26"/>
        <v>0</v>
      </c>
    </row>
    <row r="415" spans="22:25" x14ac:dyDescent="0.6">
      <c r="V415" s="94" t="str">
        <f t="shared" si="24"/>
        <v/>
      </c>
      <c r="W415" s="94">
        <f t="shared" si="25"/>
        <v>0</v>
      </c>
      <c r="X415" s="94" t="str">
        <f t="shared" si="27"/>
        <v/>
      </c>
      <c r="Y415" s="94">
        <f t="shared" si="26"/>
        <v>0</v>
      </c>
    </row>
    <row r="416" spans="22:25" x14ac:dyDescent="0.6">
      <c r="V416" s="94" t="str">
        <f t="shared" si="24"/>
        <v/>
      </c>
      <c r="W416" s="94">
        <f t="shared" si="25"/>
        <v>0</v>
      </c>
      <c r="X416" s="94" t="str">
        <f t="shared" si="27"/>
        <v/>
      </c>
      <c r="Y416" s="94">
        <f t="shared" si="26"/>
        <v>0</v>
      </c>
    </row>
    <row r="417" spans="22:25" x14ac:dyDescent="0.6">
      <c r="V417" s="94" t="str">
        <f t="shared" si="24"/>
        <v/>
      </c>
      <c r="W417" s="94">
        <f t="shared" si="25"/>
        <v>0</v>
      </c>
      <c r="X417" s="94" t="str">
        <f t="shared" si="27"/>
        <v/>
      </c>
      <c r="Y417" s="94">
        <f t="shared" si="26"/>
        <v>0</v>
      </c>
    </row>
    <row r="418" spans="22:25" x14ac:dyDescent="0.6">
      <c r="V418" s="94" t="str">
        <f t="shared" si="24"/>
        <v/>
      </c>
      <c r="W418" s="94">
        <f t="shared" si="25"/>
        <v>0</v>
      </c>
      <c r="X418" s="94" t="str">
        <f t="shared" si="27"/>
        <v/>
      </c>
      <c r="Y418" s="94">
        <f t="shared" si="26"/>
        <v>0</v>
      </c>
    </row>
    <row r="419" spans="22:25" x14ac:dyDescent="0.6">
      <c r="V419" s="94" t="str">
        <f t="shared" si="24"/>
        <v/>
      </c>
      <c r="W419" s="94">
        <f t="shared" si="25"/>
        <v>0</v>
      </c>
      <c r="X419" s="94" t="str">
        <f t="shared" si="27"/>
        <v/>
      </c>
      <c r="Y419" s="94">
        <f t="shared" si="26"/>
        <v>0</v>
      </c>
    </row>
    <row r="420" spans="22:25" x14ac:dyDescent="0.6">
      <c r="V420" s="94" t="str">
        <f t="shared" si="24"/>
        <v/>
      </c>
      <c r="W420" s="94">
        <f t="shared" si="25"/>
        <v>0</v>
      </c>
      <c r="X420" s="94" t="str">
        <f t="shared" si="27"/>
        <v/>
      </c>
      <c r="Y420" s="94">
        <f t="shared" si="26"/>
        <v>0</v>
      </c>
    </row>
    <row r="421" spans="22:25" x14ac:dyDescent="0.6">
      <c r="V421" s="94" t="str">
        <f t="shared" si="24"/>
        <v/>
      </c>
      <c r="W421" s="94">
        <f t="shared" si="25"/>
        <v>0</v>
      </c>
      <c r="X421" s="94" t="str">
        <f t="shared" si="27"/>
        <v/>
      </c>
      <c r="Y421" s="94">
        <f t="shared" si="26"/>
        <v>0</v>
      </c>
    </row>
    <row r="422" spans="22:25" x14ac:dyDescent="0.6">
      <c r="V422" s="94" t="str">
        <f t="shared" si="24"/>
        <v/>
      </c>
      <c r="W422" s="94">
        <f t="shared" si="25"/>
        <v>0</v>
      </c>
      <c r="X422" s="94" t="str">
        <f t="shared" si="27"/>
        <v/>
      </c>
      <c r="Y422" s="94">
        <f t="shared" si="26"/>
        <v>0</v>
      </c>
    </row>
    <row r="423" spans="22:25" x14ac:dyDescent="0.6">
      <c r="V423" s="94" t="str">
        <f t="shared" si="24"/>
        <v/>
      </c>
      <c r="W423" s="94">
        <f t="shared" si="25"/>
        <v>0</v>
      </c>
      <c r="X423" s="94" t="str">
        <f t="shared" si="27"/>
        <v/>
      </c>
      <c r="Y423" s="94">
        <f t="shared" si="26"/>
        <v>0</v>
      </c>
    </row>
    <row r="424" spans="22:25" x14ac:dyDescent="0.6">
      <c r="V424" s="94" t="str">
        <f t="shared" si="24"/>
        <v/>
      </c>
      <c r="W424" s="94">
        <f t="shared" si="25"/>
        <v>0</v>
      </c>
      <c r="X424" s="94" t="str">
        <f t="shared" si="27"/>
        <v/>
      </c>
      <c r="Y424" s="94">
        <f t="shared" si="26"/>
        <v>0</v>
      </c>
    </row>
    <row r="425" spans="22:25" x14ac:dyDescent="0.6">
      <c r="V425" s="94" t="str">
        <f t="shared" si="24"/>
        <v/>
      </c>
      <c r="W425" s="94">
        <f t="shared" si="25"/>
        <v>0</v>
      </c>
      <c r="X425" s="94" t="str">
        <f t="shared" si="27"/>
        <v/>
      </c>
      <c r="Y425" s="94">
        <f t="shared" si="26"/>
        <v>0</v>
      </c>
    </row>
    <row r="426" spans="22:25" x14ac:dyDescent="0.6">
      <c r="V426" s="94" t="str">
        <f t="shared" si="24"/>
        <v/>
      </c>
      <c r="W426" s="94">
        <f t="shared" si="25"/>
        <v>0</v>
      </c>
      <c r="X426" s="94" t="str">
        <f t="shared" si="27"/>
        <v/>
      </c>
      <c r="Y426" s="94">
        <f t="shared" si="26"/>
        <v>0</v>
      </c>
    </row>
    <row r="427" spans="22:25" x14ac:dyDescent="0.6">
      <c r="V427" s="94" t="str">
        <f t="shared" si="24"/>
        <v/>
      </c>
      <c r="W427" s="94">
        <f t="shared" si="25"/>
        <v>0</v>
      </c>
      <c r="X427" s="94" t="str">
        <f t="shared" si="27"/>
        <v/>
      </c>
      <c r="Y427" s="94">
        <f t="shared" si="26"/>
        <v>0</v>
      </c>
    </row>
    <row r="428" spans="22:25" x14ac:dyDescent="0.6">
      <c r="V428" s="94" t="str">
        <f t="shared" si="24"/>
        <v/>
      </c>
      <c r="W428" s="94">
        <f t="shared" si="25"/>
        <v>0</v>
      </c>
      <c r="X428" s="94" t="str">
        <f t="shared" si="27"/>
        <v/>
      </c>
      <c r="Y428" s="94">
        <f t="shared" si="26"/>
        <v>0</v>
      </c>
    </row>
    <row r="429" spans="22:25" x14ac:dyDescent="0.6">
      <c r="V429" s="94" t="str">
        <f t="shared" si="24"/>
        <v/>
      </c>
      <c r="W429" s="94">
        <f t="shared" si="25"/>
        <v>0</v>
      </c>
      <c r="X429" s="94" t="str">
        <f t="shared" si="27"/>
        <v/>
      </c>
      <c r="Y429" s="94">
        <f t="shared" si="26"/>
        <v>0</v>
      </c>
    </row>
    <row r="430" spans="22:25" x14ac:dyDescent="0.6">
      <c r="V430" s="94" t="str">
        <f t="shared" si="24"/>
        <v/>
      </c>
      <c r="W430" s="94">
        <f t="shared" si="25"/>
        <v>0</v>
      </c>
      <c r="X430" s="94" t="str">
        <f t="shared" si="27"/>
        <v/>
      </c>
      <c r="Y430" s="94">
        <f t="shared" si="26"/>
        <v>0</v>
      </c>
    </row>
    <row r="431" spans="22:25" x14ac:dyDescent="0.6">
      <c r="V431" s="94" t="str">
        <f t="shared" si="24"/>
        <v/>
      </c>
      <c r="W431" s="94">
        <f t="shared" si="25"/>
        <v>0</v>
      </c>
      <c r="X431" s="94" t="str">
        <f t="shared" si="27"/>
        <v/>
      </c>
      <c r="Y431" s="94">
        <f t="shared" si="26"/>
        <v>0</v>
      </c>
    </row>
    <row r="432" spans="22:25" x14ac:dyDescent="0.6">
      <c r="V432" s="94" t="str">
        <f t="shared" si="24"/>
        <v/>
      </c>
      <c r="W432" s="94">
        <f t="shared" si="25"/>
        <v>0</v>
      </c>
      <c r="X432" s="94" t="str">
        <f t="shared" si="27"/>
        <v/>
      </c>
      <c r="Y432" s="94">
        <f t="shared" si="26"/>
        <v>0</v>
      </c>
    </row>
    <row r="433" spans="22:25" x14ac:dyDescent="0.6">
      <c r="V433" s="94" t="str">
        <f t="shared" si="24"/>
        <v/>
      </c>
      <c r="W433" s="94">
        <f t="shared" si="25"/>
        <v>0</v>
      </c>
      <c r="X433" s="94" t="str">
        <f t="shared" si="27"/>
        <v/>
      </c>
      <c r="Y433" s="94">
        <f t="shared" si="26"/>
        <v>0</v>
      </c>
    </row>
    <row r="434" spans="22:25" x14ac:dyDescent="0.6">
      <c r="V434" s="94" t="str">
        <f t="shared" si="24"/>
        <v/>
      </c>
      <c r="W434" s="94">
        <f t="shared" si="25"/>
        <v>0</v>
      </c>
      <c r="X434" s="94" t="str">
        <f t="shared" si="27"/>
        <v/>
      </c>
      <c r="Y434" s="94">
        <f t="shared" si="26"/>
        <v>0</v>
      </c>
    </row>
    <row r="435" spans="22:25" x14ac:dyDescent="0.6">
      <c r="V435" s="94" t="str">
        <f t="shared" si="24"/>
        <v/>
      </c>
      <c r="W435" s="94">
        <f t="shared" si="25"/>
        <v>0</v>
      </c>
      <c r="X435" s="94" t="str">
        <f t="shared" si="27"/>
        <v/>
      </c>
      <c r="Y435" s="94">
        <f t="shared" si="26"/>
        <v>0</v>
      </c>
    </row>
    <row r="436" spans="22:25" x14ac:dyDescent="0.6">
      <c r="V436" s="94" t="str">
        <f t="shared" si="24"/>
        <v/>
      </c>
      <c r="W436" s="94">
        <f t="shared" si="25"/>
        <v>0</v>
      </c>
      <c r="X436" s="94" t="str">
        <f t="shared" si="27"/>
        <v/>
      </c>
      <c r="Y436" s="94">
        <f t="shared" si="26"/>
        <v>0</v>
      </c>
    </row>
    <row r="437" spans="22:25" x14ac:dyDescent="0.6">
      <c r="V437" s="94" t="str">
        <f t="shared" si="24"/>
        <v/>
      </c>
      <c r="W437" s="94">
        <f t="shared" si="25"/>
        <v>0</v>
      </c>
      <c r="X437" s="94" t="str">
        <f t="shared" si="27"/>
        <v/>
      </c>
      <c r="Y437" s="94">
        <f t="shared" si="26"/>
        <v>0</v>
      </c>
    </row>
    <row r="438" spans="22:25" x14ac:dyDescent="0.6">
      <c r="V438" s="94" t="str">
        <f t="shared" si="24"/>
        <v/>
      </c>
      <c r="W438" s="94">
        <f t="shared" si="25"/>
        <v>0</v>
      </c>
      <c r="X438" s="94" t="str">
        <f t="shared" si="27"/>
        <v/>
      </c>
      <c r="Y438" s="94">
        <f t="shared" si="26"/>
        <v>0</v>
      </c>
    </row>
    <row r="439" spans="22:25" x14ac:dyDescent="0.6">
      <c r="V439" s="94" t="str">
        <f t="shared" si="24"/>
        <v/>
      </c>
      <c r="W439" s="94">
        <f t="shared" si="25"/>
        <v>0</v>
      </c>
      <c r="X439" s="94" t="str">
        <f t="shared" si="27"/>
        <v/>
      </c>
      <c r="Y439" s="94">
        <f t="shared" si="26"/>
        <v>0</v>
      </c>
    </row>
    <row r="440" spans="22:25" x14ac:dyDescent="0.6">
      <c r="V440" s="94" t="str">
        <f t="shared" si="24"/>
        <v/>
      </c>
      <c r="W440" s="94">
        <f t="shared" si="25"/>
        <v>0</v>
      </c>
      <c r="X440" s="94" t="str">
        <f t="shared" si="27"/>
        <v/>
      </c>
      <c r="Y440" s="94">
        <f t="shared" si="26"/>
        <v>0</v>
      </c>
    </row>
    <row r="441" spans="22:25" x14ac:dyDescent="0.6">
      <c r="V441" s="94" t="str">
        <f t="shared" si="24"/>
        <v/>
      </c>
      <c r="W441" s="94">
        <f t="shared" si="25"/>
        <v>0</v>
      </c>
      <c r="X441" s="94" t="str">
        <f t="shared" si="27"/>
        <v/>
      </c>
      <c r="Y441" s="94">
        <f t="shared" si="26"/>
        <v>0</v>
      </c>
    </row>
    <row r="442" spans="22:25" x14ac:dyDescent="0.6">
      <c r="V442" s="94" t="str">
        <f t="shared" si="24"/>
        <v/>
      </c>
      <c r="W442" s="94">
        <f t="shared" si="25"/>
        <v>0</v>
      </c>
      <c r="X442" s="94" t="str">
        <f t="shared" si="27"/>
        <v/>
      </c>
      <c r="Y442" s="94">
        <f t="shared" si="26"/>
        <v>0</v>
      </c>
    </row>
    <row r="443" spans="22:25" x14ac:dyDescent="0.6">
      <c r="V443" s="94" t="str">
        <f t="shared" si="24"/>
        <v/>
      </c>
      <c r="W443" s="94">
        <f t="shared" si="25"/>
        <v>0</v>
      </c>
      <c r="X443" s="94" t="str">
        <f t="shared" si="27"/>
        <v/>
      </c>
      <c r="Y443" s="94">
        <f t="shared" si="26"/>
        <v>0</v>
      </c>
    </row>
    <row r="444" spans="22:25" x14ac:dyDescent="0.6">
      <c r="V444" s="94" t="str">
        <f t="shared" si="24"/>
        <v/>
      </c>
      <c r="W444" s="94">
        <f t="shared" si="25"/>
        <v>0</v>
      </c>
      <c r="X444" s="94" t="str">
        <f t="shared" si="27"/>
        <v/>
      </c>
      <c r="Y444" s="94">
        <f t="shared" si="26"/>
        <v>0</v>
      </c>
    </row>
    <row r="445" spans="22:25" x14ac:dyDescent="0.6">
      <c r="V445" s="94" t="str">
        <f t="shared" si="24"/>
        <v/>
      </c>
      <c r="W445" s="94">
        <f t="shared" si="25"/>
        <v>0</v>
      </c>
      <c r="X445" s="94" t="str">
        <f t="shared" si="27"/>
        <v/>
      </c>
      <c r="Y445" s="94">
        <f t="shared" si="26"/>
        <v>0</v>
      </c>
    </row>
    <row r="446" spans="22:25" x14ac:dyDescent="0.6">
      <c r="V446" s="94" t="str">
        <f t="shared" si="24"/>
        <v/>
      </c>
      <c r="W446" s="94">
        <f t="shared" si="25"/>
        <v>0</v>
      </c>
      <c r="X446" s="94" t="str">
        <f t="shared" si="27"/>
        <v/>
      </c>
      <c r="Y446" s="94">
        <f t="shared" si="26"/>
        <v>0</v>
      </c>
    </row>
    <row r="447" spans="22:25" x14ac:dyDescent="0.6">
      <c r="V447" s="94" t="str">
        <f t="shared" si="24"/>
        <v/>
      </c>
      <c r="W447" s="94">
        <f t="shared" si="25"/>
        <v>0</v>
      </c>
      <c r="X447" s="94" t="str">
        <f t="shared" si="27"/>
        <v/>
      </c>
      <c r="Y447" s="94">
        <f t="shared" si="26"/>
        <v>0</v>
      </c>
    </row>
    <row r="448" spans="22:25" x14ac:dyDescent="0.6">
      <c r="V448" s="94" t="str">
        <f t="shared" si="24"/>
        <v/>
      </c>
      <c r="W448" s="94">
        <f t="shared" si="25"/>
        <v>0</v>
      </c>
      <c r="X448" s="94" t="str">
        <f t="shared" si="27"/>
        <v/>
      </c>
      <c r="Y448" s="94">
        <f t="shared" si="26"/>
        <v>0</v>
      </c>
    </row>
    <row r="449" spans="22:25" x14ac:dyDescent="0.6">
      <c r="V449" s="94" t="str">
        <f t="shared" si="24"/>
        <v/>
      </c>
      <c r="W449" s="94">
        <f t="shared" si="25"/>
        <v>0</v>
      </c>
      <c r="X449" s="94" t="str">
        <f t="shared" si="27"/>
        <v/>
      </c>
      <c r="Y449" s="94">
        <f t="shared" si="26"/>
        <v>0</v>
      </c>
    </row>
    <row r="450" spans="22:25" x14ac:dyDescent="0.6">
      <c r="V450" s="94" t="str">
        <f t="shared" si="24"/>
        <v/>
      </c>
      <c r="W450" s="94">
        <f t="shared" si="25"/>
        <v>0</v>
      </c>
      <c r="X450" s="94" t="str">
        <f t="shared" si="27"/>
        <v/>
      </c>
      <c r="Y450" s="94">
        <f t="shared" si="26"/>
        <v>0</v>
      </c>
    </row>
    <row r="451" spans="22:25" x14ac:dyDescent="0.6">
      <c r="V451" s="94" t="str">
        <f t="shared" si="24"/>
        <v/>
      </c>
      <c r="W451" s="94">
        <f t="shared" si="25"/>
        <v>0</v>
      </c>
      <c r="X451" s="94" t="str">
        <f t="shared" si="27"/>
        <v/>
      </c>
      <c r="Y451" s="94">
        <f t="shared" si="26"/>
        <v>0</v>
      </c>
    </row>
    <row r="452" spans="22:25" x14ac:dyDescent="0.6">
      <c r="V452" s="94" t="str">
        <f t="shared" si="24"/>
        <v/>
      </c>
      <c r="W452" s="94">
        <f t="shared" si="25"/>
        <v>0</v>
      </c>
      <c r="X452" s="94" t="str">
        <f t="shared" si="27"/>
        <v/>
      </c>
      <c r="Y452" s="94">
        <f t="shared" si="26"/>
        <v>0</v>
      </c>
    </row>
    <row r="453" spans="22:25" x14ac:dyDescent="0.6">
      <c r="V453" s="94" t="str">
        <f t="shared" ref="V453:V500" si="28">IF(B453&lt;&gt;"",V452+1,"")</f>
        <v/>
      </c>
      <c r="W453" s="94">
        <f t="shared" ref="W453:W500" si="29">IFERROR(IF(ISEVEN(V453)=FALSE,0,1),0)</f>
        <v>0</v>
      </c>
      <c r="X453" s="94" t="str">
        <f t="shared" si="27"/>
        <v/>
      </c>
      <c r="Y453" s="94">
        <f t="shared" ref="Y453:Y500" si="30">IFERROR(IF(ISEVEN(X453)=FALSE,0,1),0)</f>
        <v>0</v>
      </c>
    </row>
    <row r="454" spans="22:25" x14ac:dyDescent="0.6">
      <c r="V454" s="94" t="str">
        <f t="shared" si="28"/>
        <v/>
      </c>
      <c r="W454" s="94">
        <f t="shared" si="29"/>
        <v>0</v>
      </c>
      <c r="X454" s="94" t="str">
        <f t="shared" ref="X454:X500" si="31">IF(O454&lt;&gt;"",X453+1,"")</f>
        <v/>
      </c>
      <c r="Y454" s="94">
        <f t="shared" si="30"/>
        <v>0</v>
      </c>
    </row>
    <row r="455" spans="22:25" x14ac:dyDescent="0.6">
      <c r="V455" s="94" t="str">
        <f t="shared" si="28"/>
        <v/>
      </c>
      <c r="W455" s="94">
        <f t="shared" si="29"/>
        <v>0</v>
      </c>
      <c r="X455" s="94" t="str">
        <f t="shared" si="31"/>
        <v/>
      </c>
      <c r="Y455" s="94">
        <f t="shared" si="30"/>
        <v>0</v>
      </c>
    </row>
    <row r="456" spans="22:25" x14ac:dyDescent="0.6">
      <c r="V456" s="94" t="str">
        <f t="shared" si="28"/>
        <v/>
      </c>
      <c r="W456" s="94">
        <f t="shared" si="29"/>
        <v>0</v>
      </c>
      <c r="X456" s="94" t="str">
        <f t="shared" si="31"/>
        <v/>
      </c>
      <c r="Y456" s="94">
        <f t="shared" si="30"/>
        <v>0</v>
      </c>
    </row>
    <row r="457" spans="22:25" x14ac:dyDescent="0.6">
      <c r="V457" s="94" t="str">
        <f t="shared" si="28"/>
        <v/>
      </c>
      <c r="W457" s="94">
        <f t="shared" si="29"/>
        <v>0</v>
      </c>
      <c r="X457" s="94" t="str">
        <f t="shared" si="31"/>
        <v/>
      </c>
      <c r="Y457" s="94">
        <f t="shared" si="30"/>
        <v>0</v>
      </c>
    </row>
    <row r="458" spans="22:25" x14ac:dyDescent="0.6">
      <c r="V458" s="94" t="str">
        <f t="shared" si="28"/>
        <v/>
      </c>
      <c r="W458" s="94">
        <f t="shared" si="29"/>
        <v>0</v>
      </c>
      <c r="X458" s="94" t="str">
        <f t="shared" si="31"/>
        <v/>
      </c>
      <c r="Y458" s="94">
        <f t="shared" si="30"/>
        <v>0</v>
      </c>
    </row>
    <row r="459" spans="22:25" x14ac:dyDescent="0.6">
      <c r="V459" s="94" t="str">
        <f t="shared" si="28"/>
        <v/>
      </c>
      <c r="W459" s="94">
        <f t="shared" si="29"/>
        <v>0</v>
      </c>
      <c r="X459" s="94" t="str">
        <f t="shared" si="31"/>
        <v/>
      </c>
      <c r="Y459" s="94">
        <f t="shared" si="30"/>
        <v>0</v>
      </c>
    </row>
    <row r="460" spans="22:25" x14ac:dyDescent="0.6">
      <c r="V460" s="94" t="str">
        <f t="shared" si="28"/>
        <v/>
      </c>
      <c r="W460" s="94">
        <f t="shared" si="29"/>
        <v>0</v>
      </c>
      <c r="X460" s="94" t="str">
        <f t="shared" si="31"/>
        <v/>
      </c>
      <c r="Y460" s="94">
        <f t="shared" si="30"/>
        <v>0</v>
      </c>
    </row>
    <row r="461" spans="22:25" x14ac:dyDescent="0.6">
      <c r="V461" s="94" t="str">
        <f t="shared" si="28"/>
        <v/>
      </c>
      <c r="W461" s="94">
        <f t="shared" si="29"/>
        <v>0</v>
      </c>
      <c r="X461" s="94" t="str">
        <f t="shared" si="31"/>
        <v/>
      </c>
      <c r="Y461" s="94">
        <f t="shared" si="30"/>
        <v>0</v>
      </c>
    </row>
    <row r="462" spans="22:25" x14ac:dyDescent="0.6">
      <c r="V462" s="94" t="str">
        <f t="shared" si="28"/>
        <v/>
      </c>
      <c r="W462" s="94">
        <f t="shared" si="29"/>
        <v>0</v>
      </c>
      <c r="X462" s="94" t="str">
        <f t="shared" si="31"/>
        <v/>
      </c>
      <c r="Y462" s="94">
        <f t="shared" si="30"/>
        <v>0</v>
      </c>
    </row>
    <row r="463" spans="22:25" x14ac:dyDescent="0.6">
      <c r="V463" s="94" t="str">
        <f t="shared" si="28"/>
        <v/>
      </c>
      <c r="W463" s="94">
        <f t="shared" si="29"/>
        <v>0</v>
      </c>
      <c r="X463" s="94" t="str">
        <f t="shared" si="31"/>
        <v/>
      </c>
      <c r="Y463" s="94">
        <f t="shared" si="30"/>
        <v>0</v>
      </c>
    </row>
    <row r="464" spans="22:25" x14ac:dyDescent="0.6">
      <c r="V464" s="94" t="str">
        <f t="shared" si="28"/>
        <v/>
      </c>
      <c r="W464" s="94">
        <f t="shared" si="29"/>
        <v>0</v>
      </c>
      <c r="X464" s="94" t="str">
        <f t="shared" si="31"/>
        <v/>
      </c>
      <c r="Y464" s="94">
        <f t="shared" si="30"/>
        <v>0</v>
      </c>
    </row>
    <row r="465" spans="22:25" x14ac:dyDescent="0.6">
      <c r="V465" s="94" t="str">
        <f t="shared" si="28"/>
        <v/>
      </c>
      <c r="W465" s="94">
        <f t="shared" si="29"/>
        <v>0</v>
      </c>
      <c r="X465" s="94" t="str">
        <f t="shared" si="31"/>
        <v/>
      </c>
      <c r="Y465" s="94">
        <f t="shared" si="30"/>
        <v>0</v>
      </c>
    </row>
    <row r="466" spans="22:25" x14ac:dyDescent="0.6">
      <c r="V466" s="94" t="str">
        <f t="shared" si="28"/>
        <v/>
      </c>
      <c r="W466" s="94">
        <f t="shared" si="29"/>
        <v>0</v>
      </c>
      <c r="X466" s="94" t="str">
        <f t="shared" si="31"/>
        <v/>
      </c>
      <c r="Y466" s="94">
        <f t="shared" si="30"/>
        <v>0</v>
      </c>
    </row>
    <row r="467" spans="22:25" x14ac:dyDescent="0.6">
      <c r="V467" s="94" t="str">
        <f t="shared" si="28"/>
        <v/>
      </c>
      <c r="W467" s="94">
        <f t="shared" si="29"/>
        <v>0</v>
      </c>
      <c r="X467" s="94" t="str">
        <f t="shared" si="31"/>
        <v/>
      </c>
      <c r="Y467" s="94">
        <f t="shared" si="30"/>
        <v>0</v>
      </c>
    </row>
    <row r="468" spans="22:25" x14ac:dyDescent="0.6">
      <c r="V468" s="94" t="str">
        <f t="shared" si="28"/>
        <v/>
      </c>
      <c r="W468" s="94">
        <f t="shared" si="29"/>
        <v>0</v>
      </c>
      <c r="X468" s="94" t="str">
        <f t="shared" si="31"/>
        <v/>
      </c>
      <c r="Y468" s="94">
        <f t="shared" si="30"/>
        <v>0</v>
      </c>
    </row>
    <row r="469" spans="22:25" x14ac:dyDescent="0.6">
      <c r="V469" s="94" t="str">
        <f t="shared" si="28"/>
        <v/>
      </c>
      <c r="W469" s="94">
        <f t="shared" si="29"/>
        <v>0</v>
      </c>
      <c r="X469" s="94" t="str">
        <f t="shared" si="31"/>
        <v/>
      </c>
      <c r="Y469" s="94">
        <f t="shared" si="30"/>
        <v>0</v>
      </c>
    </row>
    <row r="470" spans="22:25" x14ac:dyDescent="0.6">
      <c r="V470" s="94" t="str">
        <f t="shared" si="28"/>
        <v/>
      </c>
      <c r="W470" s="94">
        <f t="shared" si="29"/>
        <v>0</v>
      </c>
      <c r="X470" s="94" t="str">
        <f t="shared" si="31"/>
        <v/>
      </c>
      <c r="Y470" s="94">
        <f t="shared" si="30"/>
        <v>0</v>
      </c>
    </row>
    <row r="471" spans="22:25" x14ac:dyDescent="0.6">
      <c r="V471" s="94" t="str">
        <f t="shared" si="28"/>
        <v/>
      </c>
      <c r="W471" s="94">
        <f t="shared" si="29"/>
        <v>0</v>
      </c>
      <c r="X471" s="94" t="str">
        <f t="shared" si="31"/>
        <v/>
      </c>
      <c r="Y471" s="94">
        <f t="shared" si="30"/>
        <v>0</v>
      </c>
    </row>
    <row r="472" spans="22:25" x14ac:dyDescent="0.6">
      <c r="V472" s="94" t="str">
        <f t="shared" si="28"/>
        <v/>
      </c>
      <c r="W472" s="94">
        <f t="shared" si="29"/>
        <v>0</v>
      </c>
      <c r="X472" s="94" t="str">
        <f t="shared" si="31"/>
        <v/>
      </c>
      <c r="Y472" s="94">
        <f t="shared" si="30"/>
        <v>0</v>
      </c>
    </row>
    <row r="473" spans="22:25" x14ac:dyDescent="0.6">
      <c r="V473" s="94" t="str">
        <f t="shared" si="28"/>
        <v/>
      </c>
      <c r="W473" s="94">
        <f t="shared" si="29"/>
        <v>0</v>
      </c>
      <c r="X473" s="94" t="str">
        <f t="shared" si="31"/>
        <v/>
      </c>
      <c r="Y473" s="94">
        <f t="shared" si="30"/>
        <v>0</v>
      </c>
    </row>
    <row r="474" spans="22:25" x14ac:dyDescent="0.6">
      <c r="V474" s="94" t="str">
        <f t="shared" si="28"/>
        <v/>
      </c>
      <c r="W474" s="94">
        <f t="shared" si="29"/>
        <v>0</v>
      </c>
      <c r="X474" s="94" t="str">
        <f t="shared" si="31"/>
        <v/>
      </c>
      <c r="Y474" s="94">
        <f t="shared" si="30"/>
        <v>0</v>
      </c>
    </row>
    <row r="475" spans="22:25" x14ac:dyDescent="0.6">
      <c r="V475" s="94" t="str">
        <f t="shared" si="28"/>
        <v/>
      </c>
      <c r="W475" s="94">
        <f t="shared" si="29"/>
        <v>0</v>
      </c>
      <c r="X475" s="94" t="str">
        <f t="shared" si="31"/>
        <v/>
      </c>
      <c r="Y475" s="94">
        <f t="shared" si="30"/>
        <v>0</v>
      </c>
    </row>
    <row r="476" spans="22:25" x14ac:dyDescent="0.6">
      <c r="V476" s="94" t="str">
        <f t="shared" si="28"/>
        <v/>
      </c>
      <c r="W476" s="94">
        <f t="shared" si="29"/>
        <v>0</v>
      </c>
      <c r="X476" s="94" t="str">
        <f t="shared" si="31"/>
        <v/>
      </c>
      <c r="Y476" s="94">
        <f t="shared" si="30"/>
        <v>0</v>
      </c>
    </row>
    <row r="477" spans="22:25" x14ac:dyDescent="0.6">
      <c r="V477" s="94" t="str">
        <f t="shared" si="28"/>
        <v/>
      </c>
      <c r="W477" s="94">
        <f t="shared" si="29"/>
        <v>0</v>
      </c>
      <c r="X477" s="94" t="str">
        <f t="shared" si="31"/>
        <v/>
      </c>
      <c r="Y477" s="94">
        <f t="shared" si="30"/>
        <v>0</v>
      </c>
    </row>
    <row r="478" spans="22:25" x14ac:dyDescent="0.6">
      <c r="V478" s="94" t="str">
        <f t="shared" si="28"/>
        <v/>
      </c>
      <c r="W478" s="94">
        <f t="shared" si="29"/>
        <v>0</v>
      </c>
      <c r="X478" s="94" t="str">
        <f t="shared" si="31"/>
        <v/>
      </c>
      <c r="Y478" s="94">
        <f t="shared" si="30"/>
        <v>0</v>
      </c>
    </row>
    <row r="479" spans="22:25" x14ac:dyDescent="0.6">
      <c r="V479" s="94" t="str">
        <f t="shared" si="28"/>
        <v/>
      </c>
      <c r="W479" s="94">
        <f t="shared" si="29"/>
        <v>0</v>
      </c>
      <c r="X479" s="94" t="str">
        <f t="shared" si="31"/>
        <v/>
      </c>
      <c r="Y479" s="94">
        <f t="shared" si="30"/>
        <v>0</v>
      </c>
    </row>
    <row r="480" spans="22:25" x14ac:dyDescent="0.6">
      <c r="V480" s="94" t="str">
        <f t="shared" si="28"/>
        <v/>
      </c>
      <c r="W480" s="94">
        <f t="shared" si="29"/>
        <v>0</v>
      </c>
      <c r="X480" s="94" t="str">
        <f t="shared" si="31"/>
        <v/>
      </c>
      <c r="Y480" s="94">
        <f t="shared" si="30"/>
        <v>0</v>
      </c>
    </row>
    <row r="481" spans="22:25" x14ac:dyDescent="0.6">
      <c r="V481" s="94" t="str">
        <f t="shared" si="28"/>
        <v/>
      </c>
      <c r="W481" s="94">
        <f t="shared" si="29"/>
        <v>0</v>
      </c>
      <c r="X481" s="94" t="str">
        <f t="shared" si="31"/>
        <v/>
      </c>
      <c r="Y481" s="94">
        <f t="shared" si="30"/>
        <v>0</v>
      </c>
    </row>
    <row r="482" spans="22:25" x14ac:dyDescent="0.6">
      <c r="V482" s="94" t="str">
        <f t="shared" si="28"/>
        <v/>
      </c>
      <c r="W482" s="94">
        <f t="shared" si="29"/>
        <v>0</v>
      </c>
      <c r="X482" s="94" t="str">
        <f t="shared" si="31"/>
        <v/>
      </c>
      <c r="Y482" s="94">
        <f t="shared" si="30"/>
        <v>0</v>
      </c>
    </row>
    <row r="483" spans="22:25" x14ac:dyDescent="0.6">
      <c r="V483" s="94" t="str">
        <f t="shared" si="28"/>
        <v/>
      </c>
      <c r="W483" s="94">
        <f t="shared" si="29"/>
        <v>0</v>
      </c>
      <c r="X483" s="94" t="str">
        <f t="shared" si="31"/>
        <v/>
      </c>
      <c r="Y483" s="94">
        <f t="shared" si="30"/>
        <v>0</v>
      </c>
    </row>
    <row r="484" spans="22:25" x14ac:dyDescent="0.6">
      <c r="V484" s="94" t="str">
        <f t="shared" si="28"/>
        <v/>
      </c>
      <c r="W484" s="94">
        <f t="shared" si="29"/>
        <v>0</v>
      </c>
      <c r="X484" s="94" t="str">
        <f t="shared" si="31"/>
        <v/>
      </c>
      <c r="Y484" s="94">
        <f t="shared" si="30"/>
        <v>0</v>
      </c>
    </row>
    <row r="485" spans="22:25" x14ac:dyDescent="0.6">
      <c r="V485" s="94" t="str">
        <f t="shared" si="28"/>
        <v/>
      </c>
      <c r="W485" s="94">
        <f t="shared" si="29"/>
        <v>0</v>
      </c>
      <c r="X485" s="94" t="str">
        <f t="shared" si="31"/>
        <v/>
      </c>
      <c r="Y485" s="94">
        <f t="shared" si="30"/>
        <v>0</v>
      </c>
    </row>
    <row r="486" spans="22:25" x14ac:dyDescent="0.6">
      <c r="V486" s="94" t="str">
        <f t="shared" si="28"/>
        <v/>
      </c>
      <c r="W486" s="94">
        <f t="shared" si="29"/>
        <v>0</v>
      </c>
      <c r="X486" s="94" t="str">
        <f t="shared" si="31"/>
        <v/>
      </c>
      <c r="Y486" s="94">
        <f t="shared" si="30"/>
        <v>0</v>
      </c>
    </row>
    <row r="487" spans="22:25" x14ac:dyDescent="0.6">
      <c r="V487" s="94" t="str">
        <f t="shared" si="28"/>
        <v/>
      </c>
      <c r="W487" s="94">
        <f t="shared" si="29"/>
        <v>0</v>
      </c>
      <c r="X487" s="94" t="str">
        <f t="shared" si="31"/>
        <v/>
      </c>
      <c r="Y487" s="94">
        <f t="shared" si="30"/>
        <v>0</v>
      </c>
    </row>
    <row r="488" spans="22:25" x14ac:dyDescent="0.6">
      <c r="V488" s="94" t="str">
        <f t="shared" si="28"/>
        <v/>
      </c>
      <c r="W488" s="94">
        <f t="shared" si="29"/>
        <v>0</v>
      </c>
      <c r="X488" s="94" t="str">
        <f t="shared" si="31"/>
        <v/>
      </c>
      <c r="Y488" s="94">
        <f t="shared" si="30"/>
        <v>0</v>
      </c>
    </row>
    <row r="489" spans="22:25" x14ac:dyDescent="0.6">
      <c r="V489" s="94" t="str">
        <f t="shared" si="28"/>
        <v/>
      </c>
      <c r="W489" s="94">
        <f t="shared" si="29"/>
        <v>0</v>
      </c>
      <c r="X489" s="94" t="str">
        <f t="shared" si="31"/>
        <v/>
      </c>
      <c r="Y489" s="94">
        <f t="shared" si="30"/>
        <v>0</v>
      </c>
    </row>
    <row r="490" spans="22:25" x14ac:dyDescent="0.6">
      <c r="V490" s="94" t="str">
        <f t="shared" si="28"/>
        <v/>
      </c>
      <c r="W490" s="94">
        <f t="shared" si="29"/>
        <v>0</v>
      </c>
      <c r="X490" s="94" t="str">
        <f t="shared" si="31"/>
        <v/>
      </c>
      <c r="Y490" s="94">
        <f t="shared" si="30"/>
        <v>0</v>
      </c>
    </row>
    <row r="491" spans="22:25" x14ac:dyDescent="0.6">
      <c r="V491" s="94" t="str">
        <f t="shared" si="28"/>
        <v/>
      </c>
      <c r="W491" s="94">
        <f t="shared" si="29"/>
        <v>0</v>
      </c>
      <c r="X491" s="94" t="str">
        <f t="shared" si="31"/>
        <v/>
      </c>
      <c r="Y491" s="94">
        <f t="shared" si="30"/>
        <v>0</v>
      </c>
    </row>
    <row r="492" spans="22:25" x14ac:dyDescent="0.6">
      <c r="V492" s="94" t="str">
        <f t="shared" si="28"/>
        <v/>
      </c>
      <c r="W492" s="94">
        <f t="shared" si="29"/>
        <v>0</v>
      </c>
      <c r="X492" s="94" t="str">
        <f t="shared" si="31"/>
        <v/>
      </c>
      <c r="Y492" s="94">
        <f t="shared" si="30"/>
        <v>0</v>
      </c>
    </row>
    <row r="493" spans="22:25" x14ac:dyDescent="0.6">
      <c r="V493" s="94" t="str">
        <f t="shared" si="28"/>
        <v/>
      </c>
      <c r="W493" s="94">
        <f t="shared" si="29"/>
        <v>0</v>
      </c>
      <c r="X493" s="94" t="str">
        <f t="shared" si="31"/>
        <v/>
      </c>
      <c r="Y493" s="94">
        <f t="shared" si="30"/>
        <v>0</v>
      </c>
    </row>
    <row r="494" spans="22:25" x14ac:dyDescent="0.6">
      <c r="V494" s="94" t="str">
        <f t="shared" si="28"/>
        <v/>
      </c>
      <c r="W494" s="94">
        <f t="shared" si="29"/>
        <v>0</v>
      </c>
      <c r="X494" s="94" t="str">
        <f t="shared" si="31"/>
        <v/>
      </c>
      <c r="Y494" s="94">
        <f t="shared" si="30"/>
        <v>0</v>
      </c>
    </row>
    <row r="495" spans="22:25" x14ac:dyDescent="0.6">
      <c r="V495" s="94" t="str">
        <f t="shared" si="28"/>
        <v/>
      </c>
      <c r="W495" s="94">
        <f t="shared" si="29"/>
        <v>0</v>
      </c>
      <c r="X495" s="94" t="str">
        <f t="shared" si="31"/>
        <v/>
      </c>
      <c r="Y495" s="94">
        <f t="shared" si="30"/>
        <v>0</v>
      </c>
    </row>
    <row r="496" spans="22:25" x14ac:dyDescent="0.6">
      <c r="V496" s="94" t="str">
        <f t="shared" si="28"/>
        <v/>
      </c>
      <c r="W496" s="94">
        <f t="shared" si="29"/>
        <v>0</v>
      </c>
      <c r="X496" s="94" t="str">
        <f t="shared" si="31"/>
        <v/>
      </c>
      <c r="Y496" s="94">
        <f t="shared" si="30"/>
        <v>0</v>
      </c>
    </row>
    <row r="497" spans="22:25" x14ac:dyDescent="0.6">
      <c r="V497" s="94" t="str">
        <f t="shared" si="28"/>
        <v/>
      </c>
      <c r="W497" s="94">
        <f t="shared" si="29"/>
        <v>0</v>
      </c>
      <c r="X497" s="94" t="str">
        <f t="shared" si="31"/>
        <v/>
      </c>
      <c r="Y497" s="94">
        <f t="shared" si="30"/>
        <v>0</v>
      </c>
    </row>
    <row r="498" spans="22:25" x14ac:dyDescent="0.6">
      <c r="V498" s="94" t="str">
        <f t="shared" si="28"/>
        <v/>
      </c>
      <c r="W498" s="94">
        <f t="shared" si="29"/>
        <v>0</v>
      </c>
      <c r="X498" s="94" t="str">
        <f t="shared" si="31"/>
        <v/>
      </c>
      <c r="Y498" s="94">
        <f t="shared" si="30"/>
        <v>0</v>
      </c>
    </row>
    <row r="499" spans="22:25" x14ac:dyDescent="0.6">
      <c r="V499" s="94" t="str">
        <f t="shared" si="28"/>
        <v/>
      </c>
      <c r="W499" s="94">
        <f t="shared" si="29"/>
        <v>0</v>
      </c>
      <c r="X499" s="94" t="str">
        <f t="shared" si="31"/>
        <v/>
      </c>
      <c r="Y499" s="94">
        <f t="shared" si="30"/>
        <v>0</v>
      </c>
    </row>
    <row r="500" spans="22:25" x14ac:dyDescent="0.6">
      <c r="V500" s="94" t="str">
        <f t="shared" si="28"/>
        <v/>
      </c>
      <c r="W500" s="94">
        <f t="shared" si="29"/>
        <v>0</v>
      </c>
      <c r="X500" s="94" t="str">
        <f t="shared" si="31"/>
        <v/>
      </c>
      <c r="Y500" s="94">
        <f t="shared" si="30"/>
        <v>0</v>
      </c>
    </row>
  </sheetData>
  <sheetProtection algorithmName="SHA-512" hashValue="W2aD6To+oP21LV5J+3tZ3Su4EBf188Pb1OZOLl/FfBvKZuM3EunKskxtYerNnlh+ibQaZxBI1kOCmudVcON1mA==" saltValue="fb8Mz6GbDFOJU4Ziug04rg==" spinCount="100000" sheet="1" objects="1" scenarios="1"/>
  <mergeCells count="4">
    <mergeCell ref="O2:U2"/>
    <mergeCell ref="B1:D1"/>
    <mergeCell ref="L2:M2"/>
    <mergeCell ref="B2:J2"/>
  </mergeCells>
  <phoneticPr fontId="1" type="noConversion"/>
  <conditionalFormatting sqref="B4:J200">
    <cfRule type="expression" dxfId="4" priority="2">
      <formula>$B4&lt;&gt;""</formula>
    </cfRule>
  </conditionalFormatting>
  <conditionalFormatting sqref="L4:M200">
    <cfRule type="expression" dxfId="3" priority="1">
      <formula>$L4&lt;&gt;""</formula>
    </cfRule>
  </conditionalFormatting>
  <conditionalFormatting sqref="O4:U200">
    <cfRule type="expression" dxfId="2" priority="3">
      <formula>$O4&lt;&gt;""</formula>
    </cfRule>
  </conditionalFormatting>
  <printOptions horizontalCentered="1"/>
  <pageMargins left="0.15748031496062992" right="0.15748031496062992" top="0.15748031496062992" bottom="0.11811023622047245" header="0.11811023622047245" footer="0.19685039370078741"/>
  <pageSetup paperSize="9" scale="69" fitToHeight="0" orientation="landscape" r:id="rId1"/>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tabColor rgb="FFFBB7BA"/>
    <pageSetUpPr fitToPage="1"/>
  </sheetPr>
  <dimension ref="A1:AU93"/>
  <sheetViews>
    <sheetView showGridLines="0" tabSelected="1" zoomScaleNormal="100" workbookViewId="0">
      <pane xSplit="5" ySplit="2" topLeftCell="F9" activePane="bottomRight" state="frozen"/>
      <selection pane="topRight" activeCell="F1" sqref="F1"/>
      <selection pane="bottomLeft" activeCell="A3" sqref="A3"/>
      <selection pane="bottomRight" activeCell="G28" sqref="G28"/>
    </sheetView>
  </sheetViews>
  <sheetFormatPr defaultColWidth="9.33203125" defaultRowHeight="18" x14ac:dyDescent="0.45"/>
  <cols>
    <col min="1" max="1" width="13.6640625" style="64" customWidth="1"/>
    <col min="2" max="2" width="16.21875" style="147" customWidth="1"/>
    <col min="3" max="3" width="12.6640625" style="64" customWidth="1"/>
    <col min="4" max="4" width="18" style="147" customWidth="1"/>
    <col min="5" max="5" width="17" style="65" customWidth="1"/>
    <col min="6" max="6" width="16" style="65" customWidth="1"/>
    <col min="7" max="7" width="27.33203125" style="66" bestFit="1" customWidth="1"/>
    <col min="8" max="8" width="14.88671875" style="67" bestFit="1" customWidth="1"/>
    <col min="9" max="9" width="10.109375" style="68" bestFit="1" customWidth="1"/>
    <col min="10" max="10" width="14.88671875" style="67" bestFit="1" customWidth="1"/>
    <col min="11" max="11" width="12.33203125" style="64" bestFit="1" customWidth="1"/>
    <col min="12" max="12" width="15.44140625" style="66" bestFit="1" customWidth="1"/>
    <col min="13" max="13" width="25.88671875" style="66" customWidth="1"/>
    <col min="14" max="14" width="10.109375" style="64" bestFit="1" customWidth="1"/>
    <col min="15" max="15" width="26.21875" style="66" bestFit="1" customWidth="1"/>
    <col min="16" max="16" width="12.33203125" style="64" bestFit="1" customWidth="1"/>
    <col min="17" max="17" width="15.44140625" style="66" bestFit="1" customWidth="1"/>
    <col min="18" max="18" width="26.44140625" style="66" customWidth="1"/>
    <col min="19" max="19" width="10.44140625" style="66" customWidth="1"/>
    <col min="20" max="20" width="15" style="66" customWidth="1"/>
    <col min="21" max="21" width="26.44140625" style="140" customWidth="1"/>
    <col min="22" max="22" width="31.33203125" style="141" customWidth="1"/>
    <col min="23" max="23" width="39.44140625" style="141" customWidth="1"/>
    <col min="24" max="24" width="27.88671875" style="141" customWidth="1"/>
    <col min="25" max="25" width="56.44140625" style="132" customWidth="1"/>
    <col min="26" max="26" width="13.33203125" style="22" customWidth="1"/>
    <col min="27" max="27" width="10.33203125" style="69" customWidth="1"/>
    <col min="28" max="28" width="9.33203125" style="69"/>
    <col min="29" max="29" width="12.109375" style="69" hidden="1" customWidth="1"/>
    <col min="30" max="30" width="11.77734375" style="69" hidden="1" customWidth="1"/>
    <col min="31" max="31" width="15.77734375" style="70" hidden="1" customWidth="1"/>
    <col min="32" max="32" width="13.6640625" style="69" hidden="1" customWidth="1"/>
    <col min="33" max="33" width="9.33203125" style="69" hidden="1" customWidth="1"/>
    <col min="34" max="34" width="7.21875" style="64" hidden="1" customWidth="1"/>
    <col min="35" max="36" width="9.33203125" style="64" hidden="1" customWidth="1"/>
    <col min="37" max="37" width="14.33203125" style="83" hidden="1" customWidth="1"/>
    <col min="38" max="39" width="12" style="69" hidden="1" customWidth="1"/>
    <col min="40" max="44" width="9.44140625" style="69" hidden="1" customWidth="1"/>
    <col min="45" max="45" width="12" style="69" hidden="1" customWidth="1"/>
    <col min="46" max="46" width="5.44140625" style="69" hidden="1" customWidth="1"/>
    <col min="47" max="47" width="14.44140625" style="69" hidden="1" customWidth="1"/>
    <col min="48" max="53" width="14.44140625" style="69" customWidth="1"/>
    <col min="54" max="16384" width="9.33203125" style="69"/>
  </cols>
  <sheetData>
    <row r="1" spans="1:47" ht="92.4" customHeight="1" thickBot="1" x14ac:dyDescent="0.5">
      <c r="A1" s="19"/>
      <c r="B1" s="143"/>
      <c r="C1" s="19"/>
      <c r="X1" s="142"/>
      <c r="Y1" s="164" t="s">
        <v>202</v>
      </c>
      <c r="Z1" s="165"/>
      <c r="AA1" s="166"/>
      <c r="AH1" s="149" t="s">
        <v>204</v>
      </c>
      <c r="AI1" s="149">
        <f>COUNTA(_xlfn.ANCHORARRAY(AD3))</f>
        <v>21</v>
      </c>
      <c r="AJ1" s="71">
        <f ca="1">YEAR(TODAY())</f>
        <v>2025</v>
      </c>
      <c r="AK1" s="72">
        <f ca="1">TODAY()-60</f>
        <v>45904</v>
      </c>
      <c r="AL1" s="73" t="str">
        <f ca="1">YEAR(TODAY())&amp;"已缴费"</f>
        <v>2025已缴费</v>
      </c>
      <c r="AM1" s="73" t="str">
        <f ca="1">YEAR(AK1)&amp;"已缴费"</f>
        <v>2025已缴费</v>
      </c>
      <c r="AS1" s="69" t="s">
        <v>69</v>
      </c>
      <c r="AT1" s="69" t="s">
        <v>70</v>
      </c>
    </row>
    <row r="2" spans="1:47" s="74" customFormat="1" ht="36" x14ac:dyDescent="0.45">
      <c r="A2" s="84" t="s">
        <v>35</v>
      </c>
      <c r="B2" s="144" t="s">
        <v>21</v>
      </c>
      <c r="C2" s="85" t="s">
        <v>3</v>
      </c>
      <c r="D2" s="144" t="s">
        <v>4</v>
      </c>
      <c r="E2" s="86" t="s">
        <v>5</v>
      </c>
      <c r="F2" s="86" t="s">
        <v>18</v>
      </c>
      <c r="G2" s="87" t="s">
        <v>2</v>
      </c>
      <c r="H2" s="88" t="s">
        <v>10</v>
      </c>
      <c r="I2" s="89" t="s">
        <v>17</v>
      </c>
      <c r="J2" s="88" t="s">
        <v>11</v>
      </c>
      <c r="K2" s="85" t="s">
        <v>0</v>
      </c>
      <c r="L2" s="87" t="s">
        <v>1</v>
      </c>
      <c r="M2" s="87" t="s">
        <v>13</v>
      </c>
      <c r="N2" s="85" t="s">
        <v>12</v>
      </c>
      <c r="O2" s="87" t="s">
        <v>16</v>
      </c>
      <c r="P2" s="85" t="s">
        <v>6</v>
      </c>
      <c r="Q2" s="87" t="s">
        <v>7</v>
      </c>
      <c r="R2" s="87" t="s">
        <v>14</v>
      </c>
      <c r="S2" s="85" t="s">
        <v>8</v>
      </c>
      <c r="T2" s="87" t="s">
        <v>9</v>
      </c>
      <c r="U2" s="136" t="s">
        <v>15</v>
      </c>
      <c r="V2" s="136" t="s">
        <v>66</v>
      </c>
      <c r="W2" s="136" t="s">
        <v>23</v>
      </c>
      <c r="X2" s="137" t="s">
        <v>22</v>
      </c>
      <c r="Y2" s="90" t="s">
        <v>206</v>
      </c>
      <c r="Z2" s="91" t="s">
        <v>130</v>
      </c>
      <c r="AA2" s="91" t="s">
        <v>131</v>
      </c>
      <c r="AC2" s="74" t="s">
        <v>200</v>
      </c>
      <c r="AD2" s="74" t="s">
        <v>188</v>
      </c>
      <c r="AE2" s="75" t="s">
        <v>24</v>
      </c>
      <c r="AF2" s="74" t="s">
        <v>25</v>
      </c>
      <c r="AG2" s="74" t="s">
        <v>34</v>
      </c>
      <c r="AH2" s="22" t="s">
        <v>36</v>
      </c>
      <c r="AI2" s="22" t="s">
        <v>37</v>
      </c>
      <c r="AJ2" s="22" t="s">
        <v>38</v>
      </c>
      <c r="AK2" s="76" t="s">
        <v>49</v>
      </c>
      <c r="AL2" s="74" t="s">
        <v>64</v>
      </c>
      <c r="AM2" s="74" t="s">
        <v>130</v>
      </c>
      <c r="AN2" s="22" t="s">
        <v>142</v>
      </c>
      <c r="AO2" s="22" t="s">
        <v>142</v>
      </c>
      <c r="AP2" s="22" t="s">
        <v>142</v>
      </c>
      <c r="AQ2" s="74" t="s">
        <v>182</v>
      </c>
      <c r="AR2" s="74" t="s">
        <v>183</v>
      </c>
      <c r="AS2" s="74" t="s">
        <v>67</v>
      </c>
      <c r="AT2" s="69">
        <f>COUNTA(_xlfn.UNIQUE(G3:G2024))</f>
        <v>9</v>
      </c>
      <c r="AU2" s="74" t="s">
        <v>189</v>
      </c>
    </row>
    <row r="3" spans="1:47" ht="34.950000000000003" customHeight="1" x14ac:dyDescent="0.45">
      <c r="A3" s="113" t="s">
        <v>81</v>
      </c>
      <c r="B3" s="145" t="s">
        <v>82</v>
      </c>
      <c r="C3" s="113" t="s">
        <v>83</v>
      </c>
      <c r="D3" s="145" t="s">
        <v>99</v>
      </c>
      <c r="E3" s="114">
        <v>2000000</v>
      </c>
      <c r="F3" s="114">
        <v>1000</v>
      </c>
      <c r="G3" s="115" t="s">
        <v>195</v>
      </c>
      <c r="H3" s="116">
        <v>45292</v>
      </c>
      <c r="I3" s="117">
        <v>1</v>
      </c>
      <c r="J3" s="116">
        <v>73051</v>
      </c>
      <c r="K3" s="113" t="s">
        <v>81</v>
      </c>
      <c r="L3" s="115" t="s">
        <v>89</v>
      </c>
      <c r="M3" s="115" t="s">
        <v>144</v>
      </c>
      <c r="N3" s="113" t="s">
        <v>90</v>
      </c>
      <c r="O3" s="115" t="s">
        <v>92</v>
      </c>
      <c r="P3" s="113" t="s">
        <v>91</v>
      </c>
      <c r="Q3" s="115" t="s">
        <v>93</v>
      </c>
      <c r="R3" s="115" t="s">
        <v>94</v>
      </c>
      <c r="S3" s="113" t="s">
        <v>81</v>
      </c>
      <c r="T3" s="115" t="s">
        <v>89</v>
      </c>
      <c r="U3" s="138"/>
      <c r="V3" s="118"/>
      <c r="W3" s="118"/>
      <c r="X3" s="118"/>
      <c r="Y3" s="133" t="s">
        <v>105</v>
      </c>
      <c r="Z3" s="119" t="s">
        <v>129</v>
      </c>
      <c r="AA3" s="120">
        <v>2024</v>
      </c>
      <c r="AB3" s="148"/>
      <c r="AC3" s="69" t="str" cm="1">
        <f t="array" ref="AC3:AC5">_xlfn.UNIQUE(_xlfn.TOCOL(_xlfn.TRIMRANGE(B3:B10000,2,0),3,FALSE),FALSE,FALSE)</f>
        <v>大辽保险</v>
      </c>
      <c r="AD3" s="69" t="str" cm="1">
        <f t="array" ref="AD3:AD23">_xlfn.LET(_xlpm.namesrange,_xlfn.TRIMRANGE($P$3:$P$10000,2,0),_xlfn.MAP(_xlpm.namesrange,_xlfn.LAMBDA(_xlpm.a, _xlpm.a&amp;COUNTIF(P$3:INDEX(_xlpm.namesrange, ROWS(P$3:_xlpm.a)), _xlpm.a))))</f>
        <v>萧远山1</v>
      </c>
      <c r="AE3" s="70" cm="1">
        <f t="array" aca="1" ref="AE3:AE23" ca="1">_xlfn.MAP(_xlfn.TRIMRANGE(J3:J10000,2,0),_xlfn._xlws.FILTER(Z3:Z10000,AD3:AD10000&lt;&gt;"",""),_xlfn.LAMBDA(_xlpm.a,_xlpm.b,IFERROR(IF(_xlpm.b="合同已终止","已终止",_xlfn.DAYS(TODAY(),IF(_xlpm.a&lt;&gt;"",_xlpm.a,NA()))),"不适用")))</f>
        <v>-27087</v>
      </c>
      <c r="AF3" s="69" t="str" cm="1">
        <f t="array" aca="1" ref="AF3:AF23" ca="1">_xlfn.LET(_xlpm.nextmoney,_xlfn.ANCHORARRAY(AG3),_xlpm.check,_xlfn.ANCHORARRAY(AM3),_xlpm.startyears,H3:INDEX(H3:H10000,AI1,),_xlpm.terminate,_xlfn.ANCHORARRAY(AE3),_xlfn.MAP(_xlpm.nextmoney,_xlpm.check,_xlpm.startyears,_xlpm.terminate,_xlfn.LAMBDA(_xlpm.a,_xlpm.b,_xlpm.c,_xlpm.d,IF(OR(_xlpm.b=$AM$1,_xlpm.b=$AL$1,_xlpm.a="已结束",YEAR(_xlpm.c)=$AJ$1,_xlpm.d="已终止"),"已结束",IFERROR(_xlfn.DAYS(DATE(YEAR(IF(MONTH(_xlpm.c)&gt;=11,TODAY()-60,TODAY())),MONTH(_xlpm.c),DAY(_xlpm.c)),TODAY()),"已结束")))))</f>
        <v>已结束</v>
      </c>
      <c r="AG3" s="69" t="str" cm="1">
        <f t="array" aca="1" ref="AG3:AG23" ca="1">_xlfn.LET(_xlpm.terms,_xlfn.TRIMRANGE(I3:I10000,2,0),_xlpm.startyears,_xlfn.TRIMRANGE(H3:H10000,2,0),_xlfn.MAP(_xlpm.terms,_xlpm.startyears,_xlfn.LAMBDA(_xlpm.a,_xlpm.b,IFERROR(IF(_xlpm.a&lt;=0,"已结束",IF(TODAY()-_xlpm.b&gt;_xlpm.a*365,"已结束",VALUE(YEAR(TODAY()))+1-VALUE(YEAR(_xlpm.b))&amp;"/"&amp;_xlpm.a)),"已结束"))))</f>
        <v>已结束</v>
      </c>
      <c r="AH3" s="64" t="str" cm="1">
        <f t="array" ref="AH3:AH23">_xlfn.MAP(_xlfn.TRIMRANGE(保单录入!$R3:R10000,2,0),_xlfn.LAMBDA(_xlpm.a,IFERROR(IF(ISODD(MID(_xlpm.a,17,1))=TRUE,"男","女"),"请填写")))</f>
        <v>男</v>
      </c>
      <c r="AI3" s="64" cm="1">
        <f t="array" ref="AI3:AI23">_xlfn.MAP(_xlfn.TRIMRANGE(保单录入!$H3:H10000,2,0),_xlfn.TRIMRANGE(保单录入!$R3:R10000,2,0),_xlfn.LAMBDA(_xlpm.a,_xlpm.b,IFERROR(VALUE(YEAR(_xlpm.a))-VALUE(MID(_xlpm.b,7,4)),"请填写")))</f>
        <v>64</v>
      </c>
      <c r="AJ3" s="64" cm="1">
        <f t="array" aca="1" ref="AJ3:AJ23" ca="1">_xlfn.MAP(_xlfn.TRIMRANGE(保单录入!$R3:R10000,2,0),_xlfn.LAMBDA(_xlpm.a,IFERROR(VALUE(YEAR(TODAY()))-VALUE(MID(_xlpm.a,7,4)),"请填写")))</f>
        <v>65</v>
      </c>
      <c r="AK3" s="83" t="str" cm="1">
        <f t="array" aca="1" ref="AK3:AK23" ca="1">_xlfn.MAP(_xlfn.TRIMRANGE(保单录入!$H3:H10000,2,0),_xlfn.TRIMRANGE(保单录入!$I3:I10000,2,0),_xlfn.LAMBDA(_xlpm.a,_xlpm.b,IFERROR(IF(VALUE(YEAR(_xlpm.a))+VALUE(_xlpm.b)&gt;VALUE(YEAR(TODAY())),DATE(YEAR(TODAY()),MONTH(_xlpm.a),DAY(_xlpm.a)),"不适用"),"不适用")))</f>
        <v>不适用</v>
      </c>
      <c r="AL3" s="69" t="str" cm="1">
        <f t="array" ref="AL3:AL23">_xlfn.MAP(_xlfn.TRIMRANGE(保单录入!$C3:C10000,2,0),_xlfn.TRIMRANGE(保单录入!$F3:F10000,2,0),_xlfn.TRIMRANGE(保单录入!$I3:I10000,2,0),_xlfn.LAMBDA(_xlpm.a,_xlpm.b,_xlpm.c,IFERROR(IF(OR(_xlpm.a="增额终身寿",_xlpm.a="年金保险",_xlpm.a="万能账户",_xlpm.a="投资连结险"),_xlpm.b*_xlpm.c,"不适用"),"不适用")))</f>
        <v>不适用</v>
      </c>
      <c r="AM3" s="69" t="str" cm="1">
        <f t="array" ref="AM3:AM23">_xlfn.MAP(_xlfn._xlws.FILTER(AA3:AA10000,AD3:AD10000&lt;&gt;"",""),_xlfn._xlws.FILTER(Z3:Z10000,AD3:AD10000&lt;&gt;"",""),_xlfn.LAMBDA(_xlpm.a,_xlpm.b,_xlfn.TEXTJOIN(,TRUE,_xlpm.a,_xlpm.b,)))</f>
        <v>2024已缴费</v>
      </c>
      <c r="AN3" s="69" cm="1">
        <f t="array" aca="1" ref="AN3:AN10" ca="1">_xlfn.MAP(_xlfn.ANCHORARRAY(AP3),_xlfn.LAMBDA(_xlpm.a,IFERROR(_xlfn.DAYS(TODAY(),DATE(YEAR(TODAY()),MONTH(DATE(2024,LEFT(_xlpm.a,2),1)),DAY(RIGHT(_xlpm.a,2)))),"不适用")))</f>
        <v>87</v>
      </c>
      <c r="AO3" s="69" t="str" cm="1">
        <f t="array" ref="AO3:AO10">_xlfn._xlws.FILTER(_xlfn.UNIQUE(_xlfn.VSTACK($K$3:$K$2024,$P$3:$P$2024)),_xlfn.UNIQUE(_xlfn.VSTACK($K$3:$K$2024,$P$3:$P$2024))&lt;&gt;0)</f>
        <v>萧峰</v>
      </c>
      <c r="AP3" s="69" t="str" cm="1">
        <f t="array" ref="AP3:AP10">_xlfn.LET(_xlpm.targer,_xlfn.ANCHORARRAY(AO3),_xlpm.namea,$K$3:$K$10000,_xlpm.nameb,$P$3:$P$10000,_xlpm.identitya,$M$3:$M$10000,_xlpm.identityb,$R$3:$R$10000,_xlfn.MAP(_xlpm.targer,_xlfn.LAMBDA(_xlpm.a,IFERROR(MID(_xlfn.XLOOKUP(_xlpm.a,_xlpm.namea,_xlpm.identitya,_xlfn.XLOOKUP(_xlpm.a,_xlpm.nameb,_xlpm.identityb)),11,4),""))))</f>
        <v>0808</v>
      </c>
      <c r="AQ3" s="69" cm="1">
        <f t="array" aca="1" ref="AQ3:AQ23" ca="1">_xlfn.BYROW(_xlfn._xlws.FILTER(_xlfn.HSTACK(AG3:AG10000,I3:I10000,F3:F10000),AD3:AD10000&lt;&gt;"",""),_xlfn.LAMBDA(_xlpm.row,
    IFERROR(
      IF(VALUE(LEFT(INDEX(_xlpm.row,1),FIND("/",INDEX(_xlpm.row,1))-1)) = INDEX(_xlpm.row,2),0,INDEX(_xlpm.row,3)),0)))</f>
        <v>0</v>
      </c>
      <c r="AR3" s="69" t="str" cm="1">
        <f t="array" aca="1" ref="AR3:AR23" ca="1">_xlfn.MAP(_xlfn._xlws.FILTER(C3:C10000,AD3:AD10000&lt;&gt;"",""),_xlfn._xlws.FILTER(AK3:AK10000,AD3:AD10000&lt;&gt;"",""),_xlfn.LAMBDA(_xlpm.a,_xlpm.b,IFERROR(IF(OR(_xlpm.a="重疾险",_xlpm.a="终身寿险",_xlpm.a="定期寿险",_xlpm.a="增额终身寿",_xlpm.a="年金保险"),_xlpm.b+60,"详见合同约定"),"详见合同约定")))</f>
        <v>详见合同约定</v>
      </c>
      <c r="AS3" s="69" t="s">
        <v>68</v>
      </c>
      <c r="AT3" s="69">
        <f>COUNTA(_xlfn.UNIQUE(A3:A2024))</f>
        <v>3</v>
      </c>
      <c r="AU3" s="69" t="str" cm="1">
        <f t="array" ref="AU3:AU4">_xlfn.TOCOL(_xlfn.UNIQUE(A3:A2024),3,FALSE)</f>
        <v>萧峰</v>
      </c>
    </row>
    <row r="4" spans="1:47" ht="34.950000000000003" customHeight="1" x14ac:dyDescent="0.45">
      <c r="A4" s="113" t="s">
        <v>81</v>
      </c>
      <c r="B4" s="145" t="s">
        <v>82</v>
      </c>
      <c r="C4" s="113" t="s">
        <v>83</v>
      </c>
      <c r="D4" s="145" t="s">
        <v>99</v>
      </c>
      <c r="E4" s="114">
        <v>2000000</v>
      </c>
      <c r="F4" s="114">
        <v>300</v>
      </c>
      <c r="G4" s="115" t="s">
        <v>100</v>
      </c>
      <c r="H4" s="116">
        <v>44805</v>
      </c>
      <c r="I4" s="117">
        <v>20</v>
      </c>
      <c r="J4" s="116">
        <v>51136</v>
      </c>
      <c r="K4" s="113" t="s">
        <v>81</v>
      </c>
      <c r="L4" s="115" t="s">
        <v>89</v>
      </c>
      <c r="M4" s="115" t="s">
        <v>144</v>
      </c>
      <c r="N4" s="113" t="s">
        <v>90</v>
      </c>
      <c r="O4" s="115" t="s">
        <v>92</v>
      </c>
      <c r="P4" s="113" t="s">
        <v>81</v>
      </c>
      <c r="Q4" s="115" t="s">
        <v>143</v>
      </c>
      <c r="R4" s="115" t="s">
        <v>144</v>
      </c>
      <c r="S4" s="113" t="s">
        <v>95</v>
      </c>
      <c r="T4" s="115" t="s">
        <v>96</v>
      </c>
      <c r="U4" s="138"/>
      <c r="V4" s="118" t="s">
        <v>97</v>
      </c>
      <c r="W4" s="118" t="s">
        <v>84</v>
      </c>
      <c r="X4" s="118" t="s">
        <v>106</v>
      </c>
      <c r="Y4" s="134" t="s">
        <v>177</v>
      </c>
      <c r="Z4" s="119"/>
      <c r="AA4" s="120"/>
      <c r="AC4" s="69" t="str">
        <v>大理互保</v>
      </c>
      <c r="AD4" s="69" t="str">
        <v>萧峰1</v>
      </c>
      <c r="AE4" s="70">
        <f ca="1"/>
        <v>-5172</v>
      </c>
      <c r="AF4" s="69">
        <f ca="1"/>
        <v>-63</v>
      </c>
      <c r="AG4" s="69" t="str">
        <f ca="1"/>
        <v>4/20</v>
      </c>
      <c r="AH4" s="64" t="str">
        <v>男</v>
      </c>
      <c r="AI4" s="64">
        <v>32</v>
      </c>
      <c r="AJ4" s="64">
        <f ca="1"/>
        <v>35</v>
      </c>
      <c r="AK4" s="83">
        <f ca="1"/>
        <v>45901</v>
      </c>
      <c r="AL4" s="69" t="str">
        <v>不适用</v>
      </c>
      <c r="AM4" s="69" t="str">
        <v/>
      </c>
      <c r="AN4" s="69">
        <f ca="1"/>
        <v>52</v>
      </c>
      <c r="AO4" s="69" t="str">
        <v>段正淳</v>
      </c>
      <c r="AP4" s="69" t="str">
        <v>0912</v>
      </c>
      <c r="AQ4" s="69">
        <f ca="1"/>
        <v>300</v>
      </c>
      <c r="AR4" s="69" t="str">
        <f ca="1"/>
        <v>详见合同约定</v>
      </c>
      <c r="AS4" s="69" t="s">
        <v>71</v>
      </c>
      <c r="AT4" s="69">
        <f>COUNTA(_xlfn.UNIQUE(P3:P2024))</f>
        <v>8</v>
      </c>
      <c r="AU4" s="69" t="str">
        <v>段誉</v>
      </c>
    </row>
    <row r="5" spans="1:47" ht="34.950000000000003" customHeight="1" x14ac:dyDescent="0.45">
      <c r="A5" s="113" t="s">
        <v>81</v>
      </c>
      <c r="B5" s="145" t="s">
        <v>82</v>
      </c>
      <c r="C5" s="113" t="s">
        <v>85</v>
      </c>
      <c r="D5" s="145" t="s">
        <v>87</v>
      </c>
      <c r="E5" s="114">
        <v>6666666</v>
      </c>
      <c r="F5" s="114">
        <v>1000000</v>
      </c>
      <c r="G5" s="115" t="s">
        <v>88</v>
      </c>
      <c r="H5" s="116">
        <v>45545</v>
      </c>
      <c r="I5" s="117">
        <v>5</v>
      </c>
      <c r="J5" s="116">
        <v>118340</v>
      </c>
      <c r="K5" s="113" t="s">
        <v>81</v>
      </c>
      <c r="L5" s="115" t="s">
        <v>89</v>
      </c>
      <c r="M5" s="115" t="s">
        <v>144</v>
      </c>
      <c r="N5" s="113" t="s">
        <v>90</v>
      </c>
      <c r="O5" s="115" t="s">
        <v>92</v>
      </c>
      <c r="P5" s="113" t="s">
        <v>81</v>
      </c>
      <c r="Q5" s="115" t="s">
        <v>143</v>
      </c>
      <c r="R5" s="115" t="s">
        <v>144</v>
      </c>
      <c r="S5" s="113" t="s">
        <v>95</v>
      </c>
      <c r="T5" s="115" t="s">
        <v>96</v>
      </c>
      <c r="U5" s="138"/>
      <c r="V5" s="118"/>
      <c r="W5" s="118"/>
      <c r="X5" s="118"/>
      <c r="Y5" s="134" t="s">
        <v>198</v>
      </c>
      <c r="Z5" s="119"/>
      <c r="AA5" s="120"/>
      <c r="AC5" s="69" t="str">
        <v>契丹保险</v>
      </c>
      <c r="AD5" s="69" t="str">
        <v>萧峰2</v>
      </c>
      <c r="AE5" s="70">
        <f ca="1"/>
        <v>-72376</v>
      </c>
      <c r="AF5" s="69">
        <f ca="1"/>
        <v>-54</v>
      </c>
      <c r="AG5" s="69" t="str">
        <f ca="1"/>
        <v>2/5</v>
      </c>
      <c r="AH5" s="64" t="str">
        <v>男</v>
      </c>
      <c r="AI5" s="64">
        <v>34</v>
      </c>
      <c r="AJ5" s="64">
        <f ca="1"/>
        <v>35</v>
      </c>
      <c r="AK5" s="83">
        <f ca="1"/>
        <v>45910</v>
      </c>
      <c r="AL5" s="69">
        <v>5000000</v>
      </c>
      <c r="AM5" s="69" t="str">
        <v/>
      </c>
      <c r="AN5" s="69">
        <f ca="1"/>
        <v>306</v>
      </c>
      <c r="AO5" s="69" t="str">
        <v>萧远山</v>
      </c>
      <c r="AP5" s="69" t="str">
        <v>0101</v>
      </c>
      <c r="AQ5" s="69">
        <f ca="1"/>
        <v>1000000</v>
      </c>
      <c r="AR5" s="69">
        <f ca="1"/>
        <v>45970</v>
      </c>
    </row>
    <row r="6" spans="1:47" ht="34.950000000000003" customHeight="1" x14ac:dyDescent="0.45">
      <c r="A6" s="113" t="s">
        <v>81</v>
      </c>
      <c r="B6" s="145" t="s">
        <v>82</v>
      </c>
      <c r="C6" s="113" t="s">
        <v>86</v>
      </c>
      <c r="D6" s="145" t="s">
        <v>103</v>
      </c>
      <c r="E6" s="114">
        <v>1000000</v>
      </c>
      <c r="F6" s="114">
        <v>30000</v>
      </c>
      <c r="G6" s="115" t="s">
        <v>104</v>
      </c>
      <c r="H6" s="116">
        <v>44468</v>
      </c>
      <c r="I6" s="117">
        <v>19</v>
      </c>
      <c r="J6" s="116">
        <v>146099</v>
      </c>
      <c r="K6" s="113" t="s">
        <v>81</v>
      </c>
      <c r="L6" s="115" t="s">
        <v>89</v>
      </c>
      <c r="M6" s="115" t="s">
        <v>144</v>
      </c>
      <c r="N6" s="113" t="s">
        <v>90</v>
      </c>
      <c r="O6" s="115" t="s">
        <v>92</v>
      </c>
      <c r="P6" s="113" t="s">
        <v>81</v>
      </c>
      <c r="Q6" s="115" t="s">
        <v>143</v>
      </c>
      <c r="R6" s="115" t="s">
        <v>144</v>
      </c>
      <c r="S6" s="113" t="s">
        <v>95</v>
      </c>
      <c r="T6" s="115" t="s">
        <v>96</v>
      </c>
      <c r="U6" s="138"/>
      <c r="V6" s="118"/>
      <c r="W6" s="118"/>
      <c r="X6" s="118"/>
      <c r="Y6" s="134" t="s">
        <v>187</v>
      </c>
      <c r="Z6" s="119" t="s">
        <v>203</v>
      </c>
      <c r="AA6" s="120"/>
      <c r="AD6" s="69" t="str">
        <v>萧峰3</v>
      </c>
      <c r="AE6" s="70" t="str">
        <f ca="1"/>
        <v>已终止</v>
      </c>
      <c r="AF6" s="69" t="str">
        <f ca="1"/>
        <v>已结束</v>
      </c>
      <c r="AG6" s="69" t="str">
        <f ca="1"/>
        <v>5/19</v>
      </c>
      <c r="AH6" s="64" t="str">
        <v>男</v>
      </c>
      <c r="AI6" s="64">
        <v>31</v>
      </c>
      <c r="AJ6" s="64">
        <f ca="1"/>
        <v>35</v>
      </c>
      <c r="AK6" s="83">
        <f ca="1"/>
        <v>45929</v>
      </c>
      <c r="AL6" s="69" t="str">
        <v>不适用</v>
      </c>
      <c r="AM6" s="69" t="str">
        <v>合同已终止</v>
      </c>
      <c r="AN6" s="69">
        <f ca="1"/>
        <v>46</v>
      </c>
      <c r="AO6" s="69" t="str">
        <v>段誉</v>
      </c>
      <c r="AP6" s="69" t="str">
        <v>0918</v>
      </c>
      <c r="AQ6" s="69">
        <f ca="1"/>
        <v>30000</v>
      </c>
      <c r="AR6" s="69">
        <f ca="1"/>
        <v>45989</v>
      </c>
    </row>
    <row r="7" spans="1:47" ht="34.950000000000003" customHeight="1" x14ac:dyDescent="0.45">
      <c r="A7" s="113" t="s">
        <v>81</v>
      </c>
      <c r="B7" s="145" t="s">
        <v>109</v>
      </c>
      <c r="C7" s="113" t="s">
        <v>108</v>
      </c>
      <c r="D7" s="145" t="s">
        <v>110</v>
      </c>
      <c r="E7" s="114">
        <v>500000</v>
      </c>
      <c r="F7" s="114">
        <v>360</v>
      </c>
      <c r="G7" s="115" t="s">
        <v>111</v>
      </c>
      <c r="H7" s="116">
        <v>45503</v>
      </c>
      <c r="I7" s="117">
        <v>2</v>
      </c>
      <c r="J7" s="116">
        <v>46325</v>
      </c>
      <c r="K7" s="113" t="s">
        <v>112</v>
      </c>
      <c r="L7" s="115" t="s">
        <v>113</v>
      </c>
      <c r="M7" s="115" t="s">
        <v>197</v>
      </c>
      <c r="N7" s="113" t="s">
        <v>114</v>
      </c>
      <c r="O7" s="115" t="s">
        <v>115</v>
      </c>
      <c r="P7" s="113" t="s">
        <v>95</v>
      </c>
      <c r="Q7" s="115" t="s">
        <v>96</v>
      </c>
      <c r="R7" s="115" t="s">
        <v>145</v>
      </c>
      <c r="S7" s="113" t="s">
        <v>112</v>
      </c>
      <c r="T7" s="115" t="s">
        <v>113</v>
      </c>
      <c r="U7" s="138" t="s">
        <v>149</v>
      </c>
      <c r="V7" s="118" t="s">
        <v>139</v>
      </c>
      <c r="W7" s="118"/>
      <c r="X7" s="118"/>
      <c r="Y7" s="134" t="s">
        <v>116</v>
      </c>
      <c r="Z7" s="119" t="s">
        <v>129</v>
      </c>
      <c r="AA7" s="120">
        <v>2024</v>
      </c>
      <c r="AD7" s="69" t="str">
        <v>阿朱1</v>
      </c>
      <c r="AE7" s="70">
        <f ca="1"/>
        <v>-361</v>
      </c>
      <c r="AF7" s="69">
        <f ca="1"/>
        <v>-96</v>
      </c>
      <c r="AG7" s="69" t="str">
        <f ca="1"/>
        <v>2/2</v>
      </c>
      <c r="AH7" s="64" t="str">
        <v>女</v>
      </c>
      <c r="AI7" s="64">
        <v>24</v>
      </c>
      <c r="AJ7" s="64">
        <f ca="1"/>
        <v>25</v>
      </c>
      <c r="AK7" s="83">
        <f ca="1"/>
        <v>45868</v>
      </c>
      <c r="AL7" s="69" t="str">
        <v>不适用</v>
      </c>
      <c r="AM7" s="69" t="str">
        <v>2024已缴费</v>
      </c>
      <c r="AN7" s="69">
        <f ca="1"/>
        <v>-57</v>
      </c>
      <c r="AO7" s="69" t="str">
        <v>阿朱</v>
      </c>
      <c r="AP7" s="69" t="str">
        <v>1230</v>
      </c>
      <c r="AQ7" s="69">
        <f ca="1"/>
        <v>0</v>
      </c>
      <c r="AR7" s="69" t="str">
        <f ca="1"/>
        <v>详见合同约定</v>
      </c>
    </row>
    <row r="8" spans="1:47" ht="34.950000000000003" customHeight="1" x14ac:dyDescent="0.45">
      <c r="A8" s="113" t="s">
        <v>81</v>
      </c>
      <c r="B8" s="145" t="s">
        <v>109</v>
      </c>
      <c r="C8" s="113" t="s">
        <v>127</v>
      </c>
      <c r="D8" s="145" t="s">
        <v>110</v>
      </c>
      <c r="E8" s="114">
        <v>30000</v>
      </c>
      <c r="F8" s="114">
        <v>0</v>
      </c>
      <c r="G8" s="115" t="s">
        <v>111</v>
      </c>
      <c r="H8" s="116">
        <v>45565</v>
      </c>
      <c r="I8" s="117">
        <v>1</v>
      </c>
      <c r="J8" s="116">
        <v>45899</v>
      </c>
      <c r="K8" s="113" t="s">
        <v>112</v>
      </c>
      <c r="L8" s="115" t="s">
        <v>113</v>
      </c>
      <c r="M8" s="115" t="s">
        <v>180</v>
      </c>
      <c r="N8" s="113" t="s">
        <v>114</v>
      </c>
      <c r="O8" s="115" t="s">
        <v>115</v>
      </c>
      <c r="P8" s="113" t="s">
        <v>95</v>
      </c>
      <c r="Q8" s="115" t="s">
        <v>96</v>
      </c>
      <c r="R8" s="115" t="s">
        <v>145</v>
      </c>
      <c r="S8" s="113" t="s">
        <v>112</v>
      </c>
      <c r="T8" s="115" t="s">
        <v>113</v>
      </c>
      <c r="U8" s="138" t="s">
        <v>149</v>
      </c>
      <c r="V8" s="118"/>
      <c r="W8" s="118"/>
      <c r="X8" s="118"/>
      <c r="Y8" s="134" t="s">
        <v>117</v>
      </c>
      <c r="Z8" s="119"/>
      <c r="AA8" s="120"/>
      <c r="AD8" s="69" t="str">
        <v>阿朱2</v>
      </c>
      <c r="AE8" s="70">
        <f ca="1"/>
        <v>65</v>
      </c>
      <c r="AF8" s="69" t="str">
        <f ca="1"/>
        <v>已结束</v>
      </c>
      <c r="AG8" s="69" t="str">
        <f ca="1"/>
        <v>已结束</v>
      </c>
      <c r="AH8" s="64" t="str">
        <v>女</v>
      </c>
      <c r="AI8" s="64">
        <v>24</v>
      </c>
      <c r="AJ8" s="64">
        <f ca="1"/>
        <v>25</v>
      </c>
      <c r="AK8" s="83" t="str">
        <f ca="1"/>
        <v>不适用</v>
      </c>
      <c r="AL8" s="69" t="str">
        <v>不适用</v>
      </c>
      <c r="AM8" s="69" t="str">
        <v/>
      </c>
      <c r="AN8" s="69">
        <f ca="1"/>
        <v>33</v>
      </c>
      <c r="AO8" s="69" t="str">
        <v>刀白凤</v>
      </c>
      <c r="AP8" s="69" t="str">
        <v>1001</v>
      </c>
      <c r="AQ8" s="69">
        <f ca="1"/>
        <v>0</v>
      </c>
      <c r="AR8" s="69" t="str">
        <f ca="1"/>
        <v>详见合同约定</v>
      </c>
    </row>
    <row r="9" spans="1:47" ht="34.950000000000003" customHeight="1" x14ac:dyDescent="0.45">
      <c r="A9" s="113" t="s">
        <v>81</v>
      </c>
      <c r="B9" s="145" t="s">
        <v>82</v>
      </c>
      <c r="C9" s="113" t="s">
        <v>118</v>
      </c>
      <c r="D9" s="145" t="s">
        <v>119</v>
      </c>
      <c r="E9" s="114">
        <v>10000000</v>
      </c>
      <c r="F9" s="114">
        <v>200000</v>
      </c>
      <c r="G9" s="115" t="s">
        <v>120</v>
      </c>
      <c r="H9" s="116">
        <v>45688</v>
      </c>
      <c r="I9" s="117">
        <v>20</v>
      </c>
      <c r="J9" s="116">
        <v>113469</v>
      </c>
      <c r="K9" s="113" t="s">
        <v>91</v>
      </c>
      <c r="L9" s="115" t="s">
        <v>121</v>
      </c>
      <c r="M9" s="115" t="s">
        <v>94</v>
      </c>
      <c r="N9" s="113" t="s">
        <v>90</v>
      </c>
      <c r="O9" s="115" t="s">
        <v>122</v>
      </c>
      <c r="P9" s="113" t="s">
        <v>91</v>
      </c>
      <c r="Q9" s="115" t="s">
        <v>93</v>
      </c>
      <c r="R9" s="115" t="s">
        <v>94</v>
      </c>
      <c r="S9" s="113" t="s">
        <v>81</v>
      </c>
      <c r="T9" s="115" t="s">
        <v>89</v>
      </c>
      <c r="U9" s="138"/>
      <c r="V9" s="118" t="s">
        <v>123</v>
      </c>
      <c r="W9" s="118"/>
      <c r="X9" s="118"/>
      <c r="Y9" s="134" t="s">
        <v>124</v>
      </c>
      <c r="Z9" s="119"/>
      <c r="AA9" s="120"/>
      <c r="AD9" s="69" t="str">
        <v>萧远山2</v>
      </c>
      <c r="AE9" s="70">
        <f ca="1"/>
        <v>-67505</v>
      </c>
      <c r="AF9" s="69" t="str">
        <f ca="1"/>
        <v>已结束</v>
      </c>
      <c r="AG9" s="69" t="str">
        <f ca="1"/>
        <v>1/20</v>
      </c>
      <c r="AH9" s="64" t="str">
        <v>男</v>
      </c>
      <c r="AI9" s="64">
        <v>65</v>
      </c>
      <c r="AJ9" s="64">
        <f ca="1"/>
        <v>65</v>
      </c>
      <c r="AK9" s="83">
        <f ca="1"/>
        <v>45688</v>
      </c>
      <c r="AL9" s="69" t="str">
        <v>不适用</v>
      </c>
      <c r="AM9" s="69" t="str">
        <v/>
      </c>
      <c r="AN9" s="69">
        <f ca="1"/>
        <v>33</v>
      </c>
      <c r="AO9" s="69" t="str">
        <v>木婉清</v>
      </c>
      <c r="AP9" s="69" t="str">
        <v>1001</v>
      </c>
      <c r="AQ9" s="69">
        <f ca="1"/>
        <v>200000</v>
      </c>
      <c r="AR9" s="69">
        <f ca="1"/>
        <v>45748</v>
      </c>
    </row>
    <row r="10" spans="1:47" ht="34.950000000000003" customHeight="1" x14ac:dyDescent="0.45">
      <c r="A10" s="113"/>
      <c r="B10" s="145"/>
      <c r="C10" s="113"/>
      <c r="D10" s="145"/>
      <c r="E10" s="114"/>
      <c r="F10" s="114"/>
      <c r="G10" s="115"/>
      <c r="H10" s="116"/>
      <c r="I10" s="117"/>
      <c r="J10" s="116"/>
      <c r="K10" s="113"/>
      <c r="L10" s="115"/>
      <c r="M10" s="115"/>
      <c r="N10" s="113"/>
      <c r="O10" s="115"/>
      <c r="P10" s="113"/>
      <c r="Q10" s="115"/>
      <c r="R10" s="115"/>
      <c r="S10" s="115"/>
      <c r="T10" s="115"/>
      <c r="U10" s="138"/>
      <c r="V10" s="118"/>
      <c r="W10" s="118"/>
      <c r="X10" s="118"/>
      <c r="Y10" s="134"/>
      <c r="Z10" s="119"/>
      <c r="AA10" s="120"/>
      <c r="AD10" s="69" t="str">
        <v>0</v>
      </c>
      <c r="AE10" s="70" t="str">
        <f ca="1"/>
        <v>不适用</v>
      </c>
      <c r="AF10" s="69" t="str">
        <f ca="1"/>
        <v>已结束</v>
      </c>
      <c r="AG10" s="69" t="str">
        <f ca="1"/>
        <v>已结束</v>
      </c>
      <c r="AH10" s="64" t="str">
        <v>请填写</v>
      </c>
      <c r="AI10" s="64" t="str">
        <v>请填写</v>
      </c>
      <c r="AJ10" s="64" t="str">
        <f ca="1"/>
        <v>请填写</v>
      </c>
      <c r="AK10" s="83" t="str">
        <f ca="1"/>
        <v>不适用</v>
      </c>
      <c r="AL10" s="69" t="str">
        <v>不适用</v>
      </c>
      <c r="AM10" s="69" t="str">
        <v/>
      </c>
      <c r="AN10" s="69">
        <f ca="1"/>
        <v>33</v>
      </c>
      <c r="AO10" s="69" t="str">
        <v>钟灵</v>
      </c>
      <c r="AP10" s="69" t="str">
        <v>1001</v>
      </c>
      <c r="AQ10" s="69">
        <f ca="1"/>
        <v>0</v>
      </c>
      <c r="AR10" s="69" t="str">
        <f ca="1"/>
        <v>详见合同约定</v>
      </c>
    </row>
    <row r="11" spans="1:47" ht="34.950000000000003" customHeight="1" x14ac:dyDescent="0.45">
      <c r="A11" s="113" t="s">
        <v>125</v>
      </c>
      <c r="B11" s="145" t="s">
        <v>109</v>
      </c>
      <c r="C11" s="113" t="s">
        <v>86</v>
      </c>
      <c r="D11" s="145" t="s">
        <v>134</v>
      </c>
      <c r="E11" s="114">
        <v>600000</v>
      </c>
      <c r="F11" s="114">
        <v>100000</v>
      </c>
      <c r="G11" s="115" t="s">
        <v>104</v>
      </c>
      <c r="H11" s="116">
        <v>44094</v>
      </c>
      <c r="I11" s="117">
        <v>20</v>
      </c>
      <c r="J11" s="116">
        <v>146099</v>
      </c>
      <c r="K11" s="113" t="s">
        <v>125</v>
      </c>
      <c r="L11" s="115" t="s">
        <v>128</v>
      </c>
      <c r="M11" s="115" t="s">
        <v>199</v>
      </c>
      <c r="N11" s="113" t="s">
        <v>114</v>
      </c>
      <c r="O11" s="115" t="s">
        <v>135</v>
      </c>
      <c r="P11" s="113" t="s">
        <v>133</v>
      </c>
      <c r="Q11" s="115" t="s">
        <v>136</v>
      </c>
      <c r="R11" s="115" t="s">
        <v>148</v>
      </c>
      <c r="S11" s="113" t="s">
        <v>125</v>
      </c>
      <c r="T11" s="115" t="s">
        <v>128</v>
      </c>
      <c r="U11" s="138" t="s">
        <v>132</v>
      </c>
      <c r="V11" s="118" t="s">
        <v>139</v>
      </c>
      <c r="W11" s="118"/>
      <c r="X11" s="118"/>
      <c r="Y11" s="134" t="s">
        <v>137</v>
      </c>
      <c r="Z11" s="119"/>
      <c r="AA11" s="120"/>
      <c r="AD11" s="69" t="str">
        <v>刀白凤1</v>
      </c>
      <c r="AE11" s="70">
        <f ca="1"/>
        <v>-100135</v>
      </c>
      <c r="AF11" s="69">
        <f ca="1"/>
        <v>-44</v>
      </c>
      <c r="AG11" s="69" t="str">
        <f ca="1"/>
        <v>6/20</v>
      </c>
      <c r="AH11" s="64" t="str">
        <v>女</v>
      </c>
      <c r="AI11" s="64">
        <v>41</v>
      </c>
      <c r="AJ11" s="64">
        <f ca="1"/>
        <v>46</v>
      </c>
      <c r="AK11" s="83">
        <f ca="1"/>
        <v>45920</v>
      </c>
      <c r="AL11" s="69" t="str">
        <v>不适用</v>
      </c>
      <c r="AM11" s="69" t="str">
        <v/>
      </c>
      <c r="AQ11" s="69">
        <f ca="1"/>
        <v>100000</v>
      </c>
      <c r="AR11" s="69">
        <f ca="1"/>
        <v>45980</v>
      </c>
    </row>
    <row r="12" spans="1:47" ht="34.950000000000003" customHeight="1" x14ac:dyDescent="0.45">
      <c r="A12" s="113" t="s">
        <v>125</v>
      </c>
      <c r="B12" s="145" t="s">
        <v>109</v>
      </c>
      <c r="C12" s="113" t="s">
        <v>83</v>
      </c>
      <c r="D12" s="145" t="s">
        <v>134</v>
      </c>
      <c r="E12" s="114">
        <v>600000</v>
      </c>
      <c r="F12" s="114">
        <v>0</v>
      </c>
      <c r="G12" s="115" t="s">
        <v>104</v>
      </c>
      <c r="H12" s="116">
        <v>44094</v>
      </c>
      <c r="I12" s="117">
        <v>20</v>
      </c>
      <c r="J12" s="116">
        <v>146099</v>
      </c>
      <c r="K12" s="113" t="s">
        <v>125</v>
      </c>
      <c r="L12" s="115" t="s">
        <v>128</v>
      </c>
      <c r="M12" s="115" t="s">
        <v>199</v>
      </c>
      <c r="N12" s="113" t="s">
        <v>114</v>
      </c>
      <c r="O12" s="115" t="s">
        <v>135</v>
      </c>
      <c r="P12" s="113" t="s">
        <v>133</v>
      </c>
      <c r="Q12" s="115" t="s">
        <v>136</v>
      </c>
      <c r="R12" s="115" t="s">
        <v>148</v>
      </c>
      <c r="S12" s="113" t="s">
        <v>125</v>
      </c>
      <c r="T12" s="115" t="s">
        <v>128</v>
      </c>
      <c r="U12" s="138" t="s">
        <v>132</v>
      </c>
      <c r="V12" s="118"/>
      <c r="W12" s="118"/>
      <c r="X12" s="118"/>
      <c r="Y12" s="134" t="s">
        <v>138</v>
      </c>
      <c r="Z12" s="119"/>
      <c r="AA12" s="120"/>
      <c r="AD12" s="69" t="str">
        <v>刀白凤2</v>
      </c>
      <c r="AE12" s="70">
        <f ca="1"/>
        <v>-100135</v>
      </c>
      <c r="AF12" s="69">
        <f ca="1"/>
        <v>-44</v>
      </c>
      <c r="AG12" s="69" t="str">
        <f ca="1"/>
        <v>6/20</v>
      </c>
      <c r="AH12" s="64" t="str">
        <v>女</v>
      </c>
      <c r="AI12" s="64">
        <v>41</v>
      </c>
      <c r="AJ12" s="64">
        <f ca="1"/>
        <v>46</v>
      </c>
      <c r="AK12" s="83">
        <f ca="1"/>
        <v>45920</v>
      </c>
      <c r="AL12" s="69" t="str">
        <v>不适用</v>
      </c>
      <c r="AM12" s="69" t="str">
        <v/>
      </c>
      <c r="AQ12" s="69">
        <f ca="1"/>
        <v>0</v>
      </c>
      <c r="AR12" s="69" t="str">
        <f ca="1"/>
        <v>详见合同约定</v>
      </c>
    </row>
    <row r="13" spans="1:47" ht="34.950000000000003" customHeight="1" x14ac:dyDescent="0.45">
      <c r="A13" s="113" t="s">
        <v>81</v>
      </c>
      <c r="B13" s="145" t="s">
        <v>82</v>
      </c>
      <c r="C13" s="113" t="s">
        <v>86</v>
      </c>
      <c r="D13" s="145" t="s">
        <v>103</v>
      </c>
      <c r="E13" s="114">
        <v>800000</v>
      </c>
      <c r="F13" s="114">
        <v>30000</v>
      </c>
      <c r="G13" s="115" t="s">
        <v>104</v>
      </c>
      <c r="H13" s="116">
        <v>44562</v>
      </c>
      <c r="I13" s="117">
        <v>19</v>
      </c>
      <c r="J13" s="116">
        <v>146099</v>
      </c>
      <c r="K13" s="113" t="s">
        <v>81</v>
      </c>
      <c r="L13" s="115" t="s">
        <v>89</v>
      </c>
      <c r="M13" s="115" t="s">
        <v>144</v>
      </c>
      <c r="N13" s="113" t="s">
        <v>90</v>
      </c>
      <c r="O13" s="115" t="s">
        <v>92</v>
      </c>
      <c r="P13" s="113" t="s">
        <v>95</v>
      </c>
      <c r="Q13" s="115" t="s">
        <v>96</v>
      </c>
      <c r="R13" s="115" t="s">
        <v>145</v>
      </c>
      <c r="S13" s="113" t="s">
        <v>81</v>
      </c>
      <c r="T13" s="115" t="s">
        <v>89</v>
      </c>
      <c r="U13" s="138" t="s">
        <v>144</v>
      </c>
      <c r="V13" s="118" t="s">
        <v>139</v>
      </c>
      <c r="W13" s="118"/>
      <c r="X13" s="118"/>
      <c r="Y13" s="134" t="s">
        <v>150</v>
      </c>
      <c r="Z13" s="119"/>
      <c r="AA13" s="120"/>
      <c r="AD13" s="69" t="str">
        <v>阿朱3</v>
      </c>
      <c r="AE13" s="70">
        <f ca="1"/>
        <v>-100135</v>
      </c>
      <c r="AF13" s="69">
        <f ca="1"/>
        <v>-306</v>
      </c>
      <c r="AG13" s="69" t="str">
        <f ca="1"/>
        <v>4/19</v>
      </c>
      <c r="AH13" s="64" t="str">
        <v>女</v>
      </c>
      <c r="AI13" s="64">
        <v>22</v>
      </c>
      <c r="AJ13" s="64">
        <f ca="1"/>
        <v>25</v>
      </c>
      <c r="AK13" s="83">
        <f ca="1"/>
        <v>45658</v>
      </c>
      <c r="AL13" s="69" t="str">
        <v>不适用</v>
      </c>
      <c r="AM13" s="69" t="str">
        <v/>
      </c>
      <c r="AQ13" s="69">
        <f ca="1"/>
        <v>30000</v>
      </c>
      <c r="AR13" s="69">
        <f ca="1"/>
        <v>45718</v>
      </c>
    </row>
    <row r="14" spans="1:47" ht="34.950000000000003" customHeight="1" x14ac:dyDescent="0.45">
      <c r="A14" s="113" t="s">
        <v>81</v>
      </c>
      <c r="B14" s="145" t="s">
        <v>109</v>
      </c>
      <c r="C14" s="113" t="s">
        <v>151</v>
      </c>
      <c r="D14" s="145" t="s">
        <v>152</v>
      </c>
      <c r="E14" s="114">
        <v>1000000</v>
      </c>
      <c r="F14" s="114">
        <v>3000000</v>
      </c>
      <c r="G14" s="115" t="s">
        <v>153</v>
      </c>
      <c r="H14" s="116">
        <v>45199</v>
      </c>
      <c r="I14" s="117">
        <v>3</v>
      </c>
      <c r="J14" s="116">
        <v>146099</v>
      </c>
      <c r="K14" s="113" t="s">
        <v>112</v>
      </c>
      <c r="L14" s="115" t="s">
        <v>113</v>
      </c>
      <c r="M14" s="115" t="s">
        <v>149</v>
      </c>
      <c r="N14" s="113" t="s">
        <v>114</v>
      </c>
      <c r="O14" s="115" t="s">
        <v>115</v>
      </c>
      <c r="P14" s="113" t="s">
        <v>95</v>
      </c>
      <c r="Q14" s="115" t="s">
        <v>96</v>
      </c>
      <c r="R14" s="115" t="s">
        <v>145</v>
      </c>
      <c r="S14" s="113" t="s">
        <v>112</v>
      </c>
      <c r="T14" s="115" t="s">
        <v>113</v>
      </c>
      <c r="U14" s="138" t="s">
        <v>149</v>
      </c>
      <c r="V14" s="118"/>
      <c r="W14" s="118"/>
      <c r="X14" s="118"/>
      <c r="Y14" s="134"/>
      <c r="Z14" s="119"/>
      <c r="AA14" s="120"/>
      <c r="AD14" s="69" t="str">
        <v>阿朱4</v>
      </c>
      <c r="AE14" s="70">
        <f ca="1"/>
        <v>-100135</v>
      </c>
      <c r="AF14" s="69">
        <f ca="1"/>
        <v>-34</v>
      </c>
      <c r="AG14" s="69" t="str">
        <f ca="1"/>
        <v>3/3</v>
      </c>
      <c r="AH14" s="64" t="str">
        <v>女</v>
      </c>
      <c r="AI14" s="64">
        <v>23</v>
      </c>
      <c r="AJ14" s="64">
        <f ca="1"/>
        <v>25</v>
      </c>
      <c r="AK14" s="83">
        <f ca="1"/>
        <v>45930</v>
      </c>
      <c r="AL14" s="69">
        <v>9000000</v>
      </c>
      <c r="AM14" s="69" t="str">
        <v/>
      </c>
      <c r="AQ14" s="69">
        <f ca="1"/>
        <v>0</v>
      </c>
      <c r="AR14" s="69">
        <f ca="1"/>
        <v>45990</v>
      </c>
    </row>
    <row r="15" spans="1:47" ht="34.950000000000003" customHeight="1" x14ac:dyDescent="0.45">
      <c r="A15" s="113" t="s">
        <v>81</v>
      </c>
      <c r="B15" s="145" t="s">
        <v>82</v>
      </c>
      <c r="C15" s="113" t="s">
        <v>151</v>
      </c>
      <c r="D15" s="145" t="s">
        <v>154</v>
      </c>
      <c r="E15" s="114">
        <v>1888888</v>
      </c>
      <c r="F15" s="114">
        <v>1000000</v>
      </c>
      <c r="G15" s="115" t="s">
        <v>155</v>
      </c>
      <c r="H15" s="116">
        <v>45560</v>
      </c>
      <c r="I15" s="117">
        <v>3</v>
      </c>
      <c r="J15" s="116">
        <v>118340</v>
      </c>
      <c r="K15" s="113" t="s">
        <v>81</v>
      </c>
      <c r="L15" s="115" t="s">
        <v>89</v>
      </c>
      <c r="M15" s="115" t="s">
        <v>144</v>
      </c>
      <c r="N15" s="113" t="s">
        <v>90</v>
      </c>
      <c r="O15" s="115" t="s">
        <v>92</v>
      </c>
      <c r="P15" s="113" t="s">
        <v>81</v>
      </c>
      <c r="Q15" s="115" t="s">
        <v>143</v>
      </c>
      <c r="R15" s="115" t="s">
        <v>144</v>
      </c>
      <c r="S15" s="115" t="s">
        <v>95</v>
      </c>
      <c r="T15" s="115" t="s">
        <v>96</v>
      </c>
      <c r="U15" s="138"/>
      <c r="V15" s="118"/>
      <c r="W15" s="118"/>
      <c r="X15" s="118"/>
      <c r="Y15" s="134" t="s">
        <v>156</v>
      </c>
      <c r="Z15" s="119"/>
      <c r="AA15" s="120"/>
      <c r="AD15" s="69" t="str">
        <v>萧峰4</v>
      </c>
      <c r="AE15" s="70">
        <f ca="1"/>
        <v>-72376</v>
      </c>
      <c r="AF15" s="69">
        <f ca="1"/>
        <v>-39</v>
      </c>
      <c r="AG15" s="69" t="str">
        <f ca="1"/>
        <v>2/3</v>
      </c>
      <c r="AH15" s="64" t="str">
        <v>男</v>
      </c>
      <c r="AI15" s="64">
        <v>34</v>
      </c>
      <c r="AJ15" s="64">
        <f ca="1"/>
        <v>35</v>
      </c>
      <c r="AK15" s="83">
        <f ca="1"/>
        <v>45925</v>
      </c>
      <c r="AL15" s="69">
        <v>3000000</v>
      </c>
      <c r="AM15" s="69" t="str">
        <v/>
      </c>
      <c r="AQ15" s="69">
        <f ca="1"/>
        <v>1000000</v>
      </c>
      <c r="AR15" s="69">
        <f ca="1"/>
        <v>45985</v>
      </c>
    </row>
    <row r="16" spans="1:47" ht="34.950000000000003" customHeight="1" x14ac:dyDescent="0.45">
      <c r="A16" s="113" t="s">
        <v>125</v>
      </c>
      <c r="B16" s="145" t="s">
        <v>109</v>
      </c>
      <c r="C16" s="113" t="s">
        <v>118</v>
      </c>
      <c r="D16" s="145" t="s">
        <v>168</v>
      </c>
      <c r="E16" s="114">
        <v>500000</v>
      </c>
      <c r="F16" s="114">
        <v>5000</v>
      </c>
      <c r="G16" s="115" t="s">
        <v>104</v>
      </c>
      <c r="H16" s="116">
        <v>44094</v>
      </c>
      <c r="I16" s="117">
        <v>20</v>
      </c>
      <c r="J16" s="116">
        <v>146099</v>
      </c>
      <c r="K16" s="113" t="s">
        <v>125</v>
      </c>
      <c r="L16" s="115" t="s">
        <v>128</v>
      </c>
      <c r="M16" s="115" t="s">
        <v>148</v>
      </c>
      <c r="N16" s="113" t="s">
        <v>114</v>
      </c>
      <c r="O16" s="115" t="s">
        <v>135</v>
      </c>
      <c r="P16" s="113" t="s">
        <v>162</v>
      </c>
      <c r="Q16" s="115" t="s">
        <v>163</v>
      </c>
      <c r="R16" s="115" t="s">
        <v>165</v>
      </c>
      <c r="S16" s="115" t="s">
        <v>125</v>
      </c>
      <c r="T16" s="115" t="s">
        <v>128</v>
      </c>
      <c r="U16" s="138" t="s">
        <v>132</v>
      </c>
      <c r="V16" s="118"/>
      <c r="W16" s="118"/>
      <c r="X16" s="118"/>
      <c r="Y16" s="134" t="s">
        <v>138</v>
      </c>
      <c r="Z16" s="119"/>
      <c r="AA16" s="120"/>
      <c r="AD16" s="69" t="str">
        <v>木婉清1</v>
      </c>
      <c r="AE16" s="70">
        <f ca="1"/>
        <v>-100135</v>
      </c>
      <c r="AF16" s="69">
        <f ca="1"/>
        <v>-44</v>
      </c>
      <c r="AG16" s="69" t="str">
        <f ca="1"/>
        <v>6/20</v>
      </c>
      <c r="AH16" s="64" t="str">
        <v>女</v>
      </c>
      <c r="AI16" s="64">
        <v>20</v>
      </c>
      <c r="AJ16" s="64">
        <f ca="1"/>
        <v>25</v>
      </c>
      <c r="AK16" s="83">
        <f ca="1"/>
        <v>45920</v>
      </c>
      <c r="AL16" s="69" t="str">
        <v>不适用</v>
      </c>
      <c r="AM16" s="69" t="str">
        <v/>
      </c>
      <c r="AQ16" s="69">
        <f ca="1"/>
        <v>5000</v>
      </c>
      <c r="AR16" s="69">
        <f ca="1"/>
        <v>45980</v>
      </c>
    </row>
    <row r="17" spans="1:44" ht="34.950000000000003" customHeight="1" x14ac:dyDescent="0.45">
      <c r="A17" s="113" t="s">
        <v>125</v>
      </c>
      <c r="B17" s="145" t="s">
        <v>109</v>
      </c>
      <c r="C17" s="113" t="s">
        <v>118</v>
      </c>
      <c r="D17" s="145" t="s">
        <v>168</v>
      </c>
      <c r="E17" s="114">
        <v>500000</v>
      </c>
      <c r="F17" s="114">
        <v>4500</v>
      </c>
      <c r="G17" s="115" t="s">
        <v>104</v>
      </c>
      <c r="H17" s="116">
        <v>44094</v>
      </c>
      <c r="I17" s="117">
        <v>20</v>
      </c>
      <c r="J17" s="116">
        <v>146099</v>
      </c>
      <c r="K17" s="113" t="s">
        <v>125</v>
      </c>
      <c r="L17" s="115" t="s">
        <v>128</v>
      </c>
      <c r="M17" s="115" t="s">
        <v>148</v>
      </c>
      <c r="N17" s="113" t="s">
        <v>114</v>
      </c>
      <c r="O17" s="115" t="s">
        <v>135</v>
      </c>
      <c r="P17" s="113" t="s">
        <v>164</v>
      </c>
      <c r="Q17" s="115" t="s">
        <v>167</v>
      </c>
      <c r="R17" s="115" t="s">
        <v>166</v>
      </c>
      <c r="S17" s="115" t="s">
        <v>125</v>
      </c>
      <c r="T17" s="115" t="s">
        <v>128</v>
      </c>
      <c r="U17" s="138" t="s">
        <v>132</v>
      </c>
      <c r="V17" s="118"/>
      <c r="W17" s="118"/>
      <c r="X17" s="118"/>
      <c r="Y17" s="134"/>
      <c r="Z17" s="119"/>
      <c r="AA17" s="120"/>
      <c r="AD17" s="69" t="str">
        <v>钟灵1</v>
      </c>
      <c r="AE17" s="70">
        <f ca="1"/>
        <v>-100135</v>
      </c>
      <c r="AF17" s="69">
        <f ca="1"/>
        <v>-44</v>
      </c>
      <c r="AG17" s="69" t="str">
        <f ca="1"/>
        <v>6/20</v>
      </c>
      <c r="AH17" s="64" t="str">
        <v>女</v>
      </c>
      <c r="AI17" s="64">
        <v>19</v>
      </c>
      <c r="AJ17" s="64">
        <f ca="1"/>
        <v>24</v>
      </c>
      <c r="AK17" s="83">
        <f ca="1"/>
        <v>45920</v>
      </c>
      <c r="AL17" s="69" t="str">
        <v>不适用</v>
      </c>
      <c r="AM17" s="69" t="str">
        <v/>
      </c>
      <c r="AQ17" s="69">
        <f ca="1"/>
        <v>4500</v>
      </c>
      <c r="AR17" s="69">
        <f ca="1"/>
        <v>45980</v>
      </c>
    </row>
    <row r="18" spans="1:44" ht="34.950000000000003" customHeight="1" x14ac:dyDescent="0.45">
      <c r="A18" s="113" t="s">
        <v>125</v>
      </c>
      <c r="B18" s="145" t="s">
        <v>109</v>
      </c>
      <c r="C18" s="113" t="s">
        <v>151</v>
      </c>
      <c r="D18" s="145" t="s">
        <v>207</v>
      </c>
      <c r="E18" s="114">
        <v>1000000</v>
      </c>
      <c r="F18" s="114">
        <v>9999</v>
      </c>
      <c r="G18" s="115" t="s">
        <v>104</v>
      </c>
      <c r="H18" s="116">
        <v>44094</v>
      </c>
      <c r="I18" s="117">
        <v>20</v>
      </c>
      <c r="J18" s="116">
        <v>146099</v>
      </c>
      <c r="K18" s="113" t="s">
        <v>125</v>
      </c>
      <c r="L18" s="115" t="s">
        <v>128</v>
      </c>
      <c r="M18" s="115" t="s">
        <v>148</v>
      </c>
      <c r="N18" s="113" t="s">
        <v>114</v>
      </c>
      <c r="O18" s="115" t="s">
        <v>135</v>
      </c>
      <c r="P18" s="113" t="s">
        <v>125</v>
      </c>
      <c r="Q18" s="115" t="s">
        <v>128</v>
      </c>
      <c r="R18" s="115" t="s">
        <v>148</v>
      </c>
      <c r="S18" s="115" t="s">
        <v>133</v>
      </c>
      <c r="T18" s="115" t="s">
        <v>136</v>
      </c>
      <c r="U18" s="138" t="s">
        <v>148</v>
      </c>
      <c r="V18" s="118"/>
      <c r="W18" s="118"/>
      <c r="X18" s="118"/>
      <c r="Y18" s="134"/>
      <c r="Z18" s="119"/>
      <c r="AA18" s="120"/>
      <c r="AD18" s="69" t="str">
        <v>段誉1</v>
      </c>
      <c r="AE18" s="70">
        <f ca="1"/>
        <v>-100135</v>
      </c>
      <c r="AF18" s="69">
        <f ca="1"/>
        <v>-44</v>
      </c>
      <c r="AG18" s="69" t="str">
        <f ca="1"/>
        <v>6/20</v>
      </c>
      <c r="AH18" s="64" t="str">
        <v>女</v>
      </c>
      <c r="AI18" s="64">
        <v>41</v>
      </c>
      <c r="AJ18" s="64">
        <f ca="1"/>
        <v>46</v>
      </c>
      <c r="AK18" s="83">
        <f ca="1"/>
        <v>45920</v>
      </c>
      <c r="AL18" s="69">
        <v>199980</v>
      </c>
      <c r="AM18" s="69" t="str">
        <v/>
      </c>
      <c r="AQ18" s="69">
        <f ca="1"/>
        <v>9999</v>
      </c>
      <c r="AR18" s="69">
        <f ca="1"/>
        <v>45980</v>
      </c>
    </row>
    <row r="19" spans="1:44" ht="34.950000000000003" customHeight="1" x14ac:dyDescent="0.45">
      <c r="A19" s="113" t="s">
        <v>81</v>
      </c>
      <c r="B19" s="145" t="s">
        <v>201</v>
      </c>
      <c r="C19" s="113" t="s">
        <v>118</v>
      </c>
      <c r="D19" s="145" t="s">
        <v>119</v>
      </c>
      <c r="E19" s="114">
        <v>5000000</v>
      </c>
      <c r="F19" s="114">
        <v>100000</v>
      </c>
      <c r="G19" s="115" t="s">
        <v>120</v>
      </c>
      <c r="H19" s="116">
        <v>40421</v>
      </c>
      <c r="I19" s="117">
        <v>20</v>
      </c>
      <c r="J19" s="116">
        <v>113469</v>
      </c>
      <c r="K19" s="113" t="s">
        <v>91</v>
      </c>
      <c r="L19" s="115" t="s">
        <v>121</v>
      </c>
      <c r="M19" s="115" t="s">
        <v>94</v>
      </c>
      <c r="N19" s="113" t="s">
        <v>90</v>
      </c>
      <c r="O19" s="115" t="s">
        <v>122</v>
      </c>
      <c r="P19" s="113" t="s">
        <v>81</v>
      </c>
      <c r="Q19" s="115" t="s">
        <v>89</v>
      </c>
      <c r="R19" s="115" t="s">
        <v>144</v>
      </c>
      <c r="S19" s="115" t="s">
        <v>95</v>
      </c>
      <c r="T19" s="115" t="s">
        <v>96</v>
      </c>
      <c r="U19" s="138"/>
      <c r="V19" s="118" t="s">
        <v>123</v>
      </c>
      <c r="W19" s="118"/>
      <c r="X19" s="118"/>
      <c r="Y19" s="134" t="s">
        <v>124</v>
      </c>
      <c r="Z19" s="119"/>
      <c r="AA19" s="120"/>
      <c r="AD19" s="69" t="str">
        <v>萧峰5</v>
      </c>
      <c r="AE19" s="70">
        <f ca="1"/>
        <v>-67505</v>
      </c>
      <c r="AF19" s="69">
        <f ca="1"/>
        <v>-64</v>
      </c>
      <c r="AG19" s="69" t="str">
        <f ca="1"/>
        <v>16/20</v>
      </c>
      <c r="AH19" s="64" t="str">
        <v>男</v>
      </c>
      <c r="AI19" s="64">
        <v>20</v>
      </c>
      <c r="AJ19" s="64">
        <f ca="1"/>
        <v>35</v>
      </c>
      <c r="AK19" s="83">
        <f ca="1"/>
        <v>45900</v>
      </c>
      <c r="AL19" s="69" t="str">
        <v>不适用</v>
      </c>
      <c r="AM19" s="69" t="str">
        <v/>
      </c>
      <c r="AQ19" s="69">
        <f ca="1"/>
        <v>100000</v>
      </c>
      <c r="AR19" s="69">
        <f ca="1"/>
        <v>45960</v>
      </c>
    </row>
    <row r="20" spans="1:44" ht="34.950000000000003" customHeight="1" x14ac:dyDescent="0.45">
      <c r="A20" s="113" t="s">
        <v>81</v>
      </c>
      <c r="B20" s="145" t="s">
        <v>82</v>
      </c>
      <c r="C20" s="113" t="s">
        <v>126</v>
      </c>
      <c r="D20" s="145" t="s">
        <v>169</v>
      </c>
      <c r="E20" s="114">
        <v>5000000</v>
      </c>
      <c r="F20" s="114">
        <v>6000</v>
      </c>
      <c r="G20" s="115" t="s">
        <v>120</v>
      </c>
      <c r="H20" s="116">
        <v>40421</v>
      </c>
      <c r="I20" s="117">
        <v>20</v>
      </c>
      <c r="J20" s="116">
        <v>113469</v>
      </c>
      <c r="K20" s="113" t="s">
        <v>91</v>
      </c>
      <c r="L20" s="115" t="s">
        <v>121</v>
      </c>
      <c r="M20" s="115" t="s">
        <v>94</v>
      </c>
      <c r="N20" s="113" t="s">
        <v>90</v>
      </c>
      <c r="O20" s="115" t="s">
        <v>122</v>
      </c>
      <c r="P20" s="113" t="s">
        <v>81</v>
      </c>
      <c r="Q20" s="115" t="s">
        <v>89</v>
      </c>
      <c r="R20" s="115" t="s">
        <v>144</v>
      </c>
      <c r="S20" s="115" t="s">
        <v>95</v>
      </c>
      <c r="T20" s="115"/>
      <c r="U20" s="138"/>
      <c r="V20" s="118"/>
      <c r="W20" s="118"/>
      <c r="X20" s="118"/>
      <c r="Y20" s="134"/>
      <c r="Z20" s="119"/>
      <c r="AA20" s="120"/>
      <c r="AD20" s="69" t="str">
        <v>萧峰6</v>
      </c>
      <c r="AE20" s="70">
        <f ca="1"/>
        <v>-67505</v>
      </c>
      <c r="AF20" s="69">
        <f ca="1"/>
        <v>-64</v>
      </c>
      <c r="AG20" s="69" t="str">
        <f ca="1"/>
        <v>16/20</v>
      </c>
      <c r="AH20" s="64" t="str">
        <v>男</v>
      </c>
      <c r="AI20" s="64">
        <v>20</v>
      </c>
      <c r="AJ20" s="64">
        <f ca="1"/>
        <v>35</v>
      </c>
      <c r="AK20" s="83">
        <f ca="1"/>
        <v>45900</v>
      </c>
      <c r="AL20" s="69" t="str">
        <v>不适用</v>
      </c>
      <c r="AM20" s="69" t="str">
        <v/>
      </c>
      <c r="AQ20" s="69">
        <f ca="1"/>
        <v>6000</v>
      </c>
      <c r="AR20" s="69">
        <f ca="1"/>
        <v>45960</v>
      </c>
    </row>
    <row r="21" spans="1:44" ht="34.950000000000003" customHeight="1" x14ac:dyDescent="0.45">
      <c r="A21" s="113" t="s">
        <v>81</v>
      </c>
      <c r="B21" s="145" t="s">
        <v>82</v>
      </c>
      <c r="C21" s="113" t="s">
        <v>85</v>
      </c>
      <c r="D21" s="145" t="s">
        <v>87</v>
      </c>
      <c r="E21" s="114">
        <v>1999999</v>
      </c>
      <c r="F21" s="114">
        <v>500000</v>
      </c>
      <c r="G21" s="115" t="s">
        <v>88</v>
      </c>
      <c r="H21" s="116">
        <v>44835</v>
      </c>
      <c r="I21" s="117">
        <v>3</v>
      </c>
      <c r="J21" s="116">
        <v>118340</v>
      </c>
      <c r="K21" s="113" t="s">
        <v>91</v>
      </c>
      <c r="L21" s="115" t="s">
        <v>121</v>
      </c>
      <c r="M21" s="115" t="s">
        <v>94</v>
      </c>
      <c r="N21" s="113" t="s">
        <v>90</v>
      </c>
      <c r="O21" s="115" t="s">
        <v>92</v>
      </c>
      <c r="P21" s="113" t="s">
        <v>91</v>
      </c>
      <c r="Q21" s="115" t="s">
        <v>121</v>
      </c>
      <c r="R21" s="115" t="s">
        <v>94</v>
      </c>
      <c r="S21" s="115" t="s">
        <v>95</v>
      </c>
      <c r="T21" s="115" t="s">
        <v>96</v>
      </c>
      <c r="U21" s="138"/>
      <c r="V21" s="118"/>
      <c r="W21" s="118"/>
      <c r="X21" s="118"/>
      <c r="Y21" s="134" t="s">
        <v>205</v>
      </c>
      <c r="Z21" s="119"/>
      <c r="AA21" s="120"/>
      <c r="AD21" s="69" t="str">
        <v>萧远山3</v>
      </c>
      <c r="AE21" s="70">
        <f ca="1"/>
        <v>-72376</v>
      </c>
      <c r="AF21" s="69" t="str">
        <f ca="1"/>
        <v>已结束</v>
      </c>
      <c r="AG21" s="69" t="str">
        <f ca="1"/>
        <v>已结束</v>
      </c>
      <c r="AH21" s="64" t="str">
        <v>男</v>
      </c>
      <c r="AI21" s="64">
        <v>62</v>
      </c>
      <c r="AJ21" s="64">
        <f ca="1"/>
        <v>65</v>
      </c>
      <c r="AK21" s="83" t="str">
        <f ca="1"/>
        <v>不适用</v>
      </c>
      <c r="AL21" s="69">
        <v>1500000</v>
      </c>
      <c r="AM21" s="69" t="str">
        <v/>
      </c>
      <c r="AQ21" s="69">
        <f ca="1"/>
        <v>0</v>
      </c>
      <c r="AR21" s="69" t="str">
        <f ca="1"/>
        <v>详见合同约定</v>
      </c>
    </row>
    <row r="22" spans="1:44" ht="34.950000000000003" customHeight="1" x14ac:dyDescent="0.45">
      <c r="A22" s="113" t="s">
        <v>81</v>
      </c>
      <c r="B22" s="145" t="s">
        <v>109</v>
      </c>
      <c r="C22" s="113" t="s">
        <v>108</v>
      </c>
      <c r="D22" s="145" t="s">
        <v>110</v>
      </c>
      <c r="E22" s="114">
        <v>500000</v>
      </c>
      <c r="F22" s="114">
        <v>360</v>
      </c>
      <c r="G22" s="115" t="s">
        <v>111</v>
      </c>
      <c r="H22" s="116">
        <v>45565</v>
      </c>
      <c r="I22" s="117">
        <v>2</v>
      </c>
      <c r="J22" s="116">
        <v>45595</v>
      </c>
      <c r="K22" s="113" t="s">
        <v>81</v>
      </c>
      <c r="L22" s="115" t="s">
        <v>89</v>
      </c>
      <c r="M22" s="115" t="s">
        <v>144</v>
      </c>
      <c r="N22" s="113" t="s">
        <v>90</v>
      </c>
      <c r="O22" s="115" t="s">
        <v>92</v>
      </c>
      <c r="P22" s="113" t="s">
        <v>81</v>
      </c>
      <c r="Q22" s="115" t="s">
        <v>143</v>
      </c>
      <c r="R22" s="115" t="s">
        <v>144</v>
      </c>
      <c r="S22" s="113" t="s">
        <v>95</v>
      </c>
      <c r="T22" s="115" t="s">
        <v>96</v>
      </c>
      <c r="U22" s="138"/>
      <c r="V22" s="118" t="s">
        <v>139</v>
      </c>
      <c r="W22" s="118"/>
      <c r="X22" s="118"/>
      <c r="Y22" s="134" t="s">
        <v>116</v>
      </c>
      <c r="Z22" s="119"/>
      <c r="AA22" s="120"/>
      <c r="AD22" s="69" t="str">
        <v>萧峰7</v>
      </c>
      <c r="AE22" s="70">
        <f ca="1"/>
        <v>369</v>
      </c>
      <c r="AF22" s="69">
        <f ca="1"/>
        <v>-34</v>
      </c>
      <c r="AG22" s="69" t="str">
        <f ca="1"/>
        <v>2/2</v>
      </c>
      <c r="AH22" s="64" t="str">
        <v>男</v>
      </c>
      <c r="AI22" s="64">
        <v>34</v>
      </c>
      <c r="AJ22" s="64">
        <f ca="1"/>
        <v>35</v>
      </c>
      <c r="AK22" s="83">
        <f ca="1"/>
        <v>45930</v>
      </c>
      <c r="AL22" s="69" t="str">
        <v>不适用</v>
      </c>
      <c r="AM22" s="69" t="str">
        <v/>
      </c>
      <c r="AQ22" s="69">
        <f ca="1"/>
        <v>0</v>
      </c>
      <c r="AR22" s="69" t="str">
        <f ca="1"/>
        <v>详见合同约定</v>
      </c>
    </row>
    <row r="23" spans="1:44" ht="34.950000000000003" customHeight="1" x14ac:dyDescent="0.45">
      <c r="A23" s="113" t="s">
        <v>81</v>
      </c>
      <c r="B23" s="145" t="s">
        <v>109</v>
      </c>
      <c r="C23" s="113" t="s">
        <v>127</v>
      </c>
      <c r="D23" s="145" t="s">
        <v>110</v>
      </c>
      <c r="E23" s="114">
        <v>30000</v>
      </c>
      <c r="F23" s="114">
        <v>0</v>
      </c>
      <c r="G23" s="115" t="s">
        <v>111</v>
      </c>
      <c r="H23" s="116">
        <v>45565</v>
      </c>
      <c r="I23" s="117">
        <v>1</v>
      </c>
      <c r="J23" s="116">
        <v>45595</v>
      </c>
      <c r="K23" s="113" t="s">
        <v>81</v>
      </c>
      <c r="L23" s="115" t="s">
        <v>89</v>
      </c>
      <c r="M23" s="115" t="s">
        <v>144</v>
      </c>
      <c r="N23" s="113" t="s">
        <v>90</v>
      </c>
      <c r="O23" s="115" t="s">
        <v>92</v>
      </c>
      <c r="P23" s="113" t="s">
        <v>81</v>
      </c>
      <c r="Q23" s="115" t="s">
        <v>143</v>
      </c>
      <c r="R23" s="115" t="s">
        <v>144</v>
      </c>
      <c r="S23" s="113" t="s">
        <v>95</v>
      </c>
      <c r="T23" s="115" t="s">
        <v>96</v>
      </c>
      <c r="U23" s="138"/>
      <c r="V23" s="118"/>
      <c r="W23" s="118"/>
      <c r="X23" s="118"/>
      <c r="Y23" s="134" t="s">
        <v>179</v>
      </c>
      <c r="Z23" s="119"/>
      <c r="AA23" s="120"/>
      <c r="AD23" s="69" t="str">
        <v>萧峰8</v>
      </c>
      <c r="AE23" s="70">
        <f ca="1"/>
        <v>369</v>
      </c>
      <c r="AF23" s="69" t="str">
        <f ca="1"/>
        <v>已结束</v>
      </c>
      <c r="AG23" s="69" t="str">
        <f ca="1"/>
        <v>已结束</v>
      </c>
      <c r="AH23" s="64" t="str">
        <v>男</v>
      </c>
      <c r="AI23" s="64">
        <v>34</v>
      </c>
      <c r="AJ23" s="64">
        <f ca="1"/>
        <v>35</v>
      </c>
      <c r="AK23" s="83" t="str">
        <f ca="1"/>
        <v>不适用</v>
      </c>
      <c r="AL23" s="69" t="str">
        <v>不适用</v>
      </c>
      <c r="AM23" s="69" t="str">
        <v/>
      </c>
      <c r="AQ23" s="69">
        <f ca="1"/>
        <v>0</v>
      </c>
      <c r="AR23" s="69" t="str">
        <f ca="1"/>
        <v>详见合同约定</v>
      </c>
    </row>
    <row r="24" spans="1:44" x14ac:dyDescent="0.45">
      <c r="A24" s="77"/>
      <c r="B24" s="146"/>
      <c r="C24" s="77"/>
      <c r="D24" s="146"/>
      <c r="E24" s="78"/>
      <c r="F24" s="78"/>
      <c r="G24" s="79"/>
      <c r="H24" s="80"/>
      <c r="I24" s="81"/>
      <c r="J24" s="80"/>
      <c r="K24" s="77"/>
      <c r="L24" s="79"/>
      <c r="M24" s="79"/>
      <c r="N24" s="77"/>
      <c r="O24" s="79"/>
      <c r="P24" s="77"/>
      <c r="Q24" s="79"/>
      <c r="R24" s="79"/>
      <c r="S24" s="79"/>
      <c r="T24" s="79"/>
      <c r="U24" s="139"/>
      <c r="V24" s="82"/>
      <c r="W24" s="82"/>
      <c r="X24" s="82"/>
      <c r="Y24" s="135"/>
      <c r="Z24" s="21"/>
      <c r="AA24" s="22"/>
    </row>
    <row r="25" spans="1:44" x14ac:dyDescent="0.45">
      <c r="A25" s="77"/>
      <c r="B25" s="146"/>
      <c r="C25" s="77"/>
      <c r="D25" s="146"/>
      <c r="E25" s="78"/>
      <c r="F25" s="78"/>
      <c r="G25" s="79"/>
      <c r="H25" s="80"/>
      <c r="I25" s="81"/>
      <c r="J25" s="80"/>
      <c r="K25" s="77"/>
      <c r="L25" s="79"/>
      <c r="M25" s="79"/>
      <c r="N25" s="77"/>
      <c r="O25" s="79"/>
      <c r="P25" s="77"/>
      <c r="Q25" s="79"/>
      <c r="R25" s="79"/>
      <c r="S25" s="79"/>
      <c r="T25" s="79"/>
      <c r="U25" s="139"/>
      <c r="V25" s="82"/>
      <c r="W25" s="82"/>
      <c r="X25" s="82"/>
      <c r="Y25" s="135"/>
      <c r="Z25" s="21"/>
      <c r="AA25" s="22"/>
    </row>
    <row r="26" spans="1:44" x14ac:dyDescent="0.45">
      <c r="A26" s="77"/>
      <c r="B26" s="146"/>
      <c r="C26" s="77"/>
      <c r="D26" s="146"/>
      <c r="E26" s="78"/>
      <c r="F26" s="78"/>
      <c r="G26" s="79"/>
      <c r="H26" s="80"/>
      <c r="I26" s="81"/>
      <c r="J26" s="80"/>
      <c r="K26" s="77"/>
      <c r="L26" s="79"/>
      <c r="M26" s="79"/>
      <c r="N26" s="77"/>
      <c r="O26" s="79"/>
      <c r="P26" s="77"/>
      <c r="Q26" s="79"/>
      <c r="R26" s="79"/>
      <c r="S26" s="79"/>
      <c r="T26" s="79"/>
      <c r="U26" s="139"/>
      <c r="V26" s="82"/>
      <c r="W26" s="82"/>
      <c r="X26" s="82"/>
      <c r="Y26" s="135"/>
      <c r="Z26" s="21"/>
      <c r="AA26" s="22"/>
    </row>
    <row r="27" spans="1:44" x14ac:dyDescent="0.45">
      <c r="A27" s="77"/>
      <c r="B27" s="146"/>
      <c r="C27" s="77"/>
      <c r="D27" s="146"/>
      <c r="E27" s="78"/>
      <c r="F27" s="78"/>
      <c r="G27" s="79"/>
      <c r="H27" s="80"/>
      <c r="I27" s="81"/>
      <c r="J27" s="80"/>
      <c r="K27" s="77"/>
      <c r="L27" s="79"/>
      <c r="M27" s="79"/>
      <c r="N27" s="77"/>
      <c r="O27" s="79"/>
      <c r="P27" s="77"/>
      <c r="Q27" s="79"/>
      <c r="R27" s="79"/>
      <c r="S27" s="79"/>
      <c r="T27" s="79"/>
      <c r="U27" s="139"/>
      <c r="V27" s="82"/>
      <c r="W27" s="82"/>
      <c r="X27" s="82"/>
      <c r="Y27" s="135"/>
      <c r="Z27" s="21"/>
      <c r="AA27" s="22"/>
    </row>
    <row r="28" spans="1:44" x14ac:dyDescent="0.45">
      <c r="A28" s="77"/>
      <c r="B28" s="146"/>
      <c r="C28" s="77"/>
      <c r="D28" s="146"/>
      <c r="E28" s="78"/>
      <c r="F28" s="78"/>
      <c r="G28" s="79"/>
      <c r="H28" s="80"/>
      <c r="I28" s="81"/>
      <c r="J28" s="80"/>
      <c r="K28" s="77"/>
      <c r="L28" s="79"/>
      <c r="M28" s="79"/>
      <c r="N28" s="77"/>
      <c r="O28" s="79"/>
      <c r="P28" s="77"/>
      <c r="Q28" s="79"/>
      <c r="R28" s="79"/>
      <c r="S28" s="79"/>
      <c r="T28" s="79"/>
      <c r="U28" s="139"/>
      <c r="V28" s="82"/>
      <c r="W28" s="82"/>
      <c r="X28" s="82"/>
      <c r="Y28" s="135"/>
      <c r="Z28" s="21"/>
      <c r="AA28" s="22"/>
    </row>
    <row r="29" spans="1:44" x14ac:dyDescent="0.45">
      <c r="A29" s="77"/>
      <c r="B29" s="146"/>
      <c r="C29" s="77"/>
      <c r="D29" s="146"/>
      <c r="E29" s="78"/>
      <c r="F29" s="78"/>
      <c r="G29" s="79"/>
      <c r="H29" s="80"/>
      <c r="I29" s="81"/>
      <c r="J29" s="80"/>
      <c r="K29" s="77"/>
      <c r="L29" s="79"/>
      <c r="M29" s="79"/>
      <c r="N29" s="77"/>
      <c r="O29" s="79"/>
      <c r="P29" s="77"/>
      <c r="Q29" s="79"/>
      <c r="R29" s="79"/>
      <c r="S29" s="79"/>
      <c r="T29" s="79"/>
      <c r="U29" s="139"/>
      <c r="V29" s="82"/>
      <c r="W29" s="82"/>
      <c r="X29" s="82"/>
      <c r="Y29" s="135"/>
      <c r="Z29" s="21"/>
      <c r="AA29" s="22"/>
    </row>
    <row r="30" spans="1:44" x14ac:dyDescent="0.45">
      <c r="A30" s="113"/>
      <c r="B30" s="145"/>
      <c r="C30" s="113"/>
      <c r="D30" s="145"/>
      <c r="E30" s="114"/>
      <c r="F30" s="114"/>
      <c r="G30" s="115"/>
      <c r="H30" s="116"/>
      <c r="I30" s="117"/>
      <c r="J30" s="116"/>
      <c r="K30" s="113"/>
      <c r="L30" s="115"/>
      <c r="M30" s="115"/>
      <c r="N30" s="113"/>
      <c r="O30" s="115"/>
      <c r="P30" s="113"/>
      <c r="Q30" s="115"/>
      <c r="R30" s="115"/>
      <c r="S30" s="115"/>
      <c r="T30" s="115"/>
      <c r="U30" s="138"/>
      <c r="V30" s="118"/>
      <c r="W30" s="118"/>
      <c r="X30" s="118"/>
      <c r="Y30" s="134"/>
      <c r="Z30" s="119"/>
      <c r="AA30" s="120"/>
    </row>
    <row r="31" spans="1:44" x14ac:dyDescent="0.45">
      <c r="A31" s="113"/>
      <c r="B31" s="145"/>
      <c r="C31" s="113"/>
      <c r="D31" s="145"/>
      <c r="E31" s="114"/>
      <c r="F31" s="114"/>
      <c r="G31" s="115"/>
      <c r="H31" s="116"/>
      <c r="I31" s="117"/>
      <c r="J31" s="116"/>
      <c r="K31" s="113"/>
      <c r="L31" s="115"/>
      <c r="M31" s="115"/>
      <c r="N31" s="113"/>
      <c r="O31" s="115"/>
      <c r="P31" s="113"/>
      <c r="Q31" s="115"/>
      <c r="R31" s="115"/>
      <c r="S31" s="115"/>
      <c r="T31" s="115"/>
      <c r="U31" s="138"/>
      <c r="V31" s="118"/>
      <c r="W31" s="118"/>
      <c r="X31" s="118"/>
      <c r="Y31" s="134"/>
      <c r="Z31" s="119"/>
      <c r="AA31" s="120"/>
    </row>
    <row r="32" spans="1:44" x14ac:dyDescent="0.45">
      <c r="A32" s="113"/>
      <c r="B32" s="145"/>
      <c r="C32" s="113"/>
      <c r="D32" s="145"/>
      <c r="E32" s="114"/>
      <c r="F32" s="114"/>
      <c r="G32" s="115"/>
      <c r="H32" s="116"/>
      <c r="I32" s="117"/>
      <c r="J32" s="116"/>
      <c r="K32" s="113"/>
      <c r="L32" s="115"/>
      <c r="M32" s="115"/>
      <c r="N32" s="113"/>
      <c r="O32" s="115"/>
      <c r="P32" s="113"/>
      <c r="Q32" s="115"/>
      <c r="R32" s="115"/>
      <c r="S32" s="115"/>
      <c r="T32" s="115"/>
      <c r="U32" s="138"/>
      <c r="V32" s="118"/>
      <c r="W32" s="118"/>
      <c r="X32" s="118"/>
      <c r="Y32" s="134"/>
      <c r="Z32" s="119"/>
      <c r="AA32" s="120"/>
    </row>
    <row r="33" spans="1:27" x14ac:dyDescent="0.45">
      <c r="A33" s="113"/>
      <c r="B33" s="145"/>
      <c r="C33" s="113"/>
      <c r="D33" s="145"/>
      <c r="E33" s="114"/>
      <c r="F33" s="114"/>
      <c r="G33" s="115"/>
      <c r="H33" s="116"/>
      <c r="I33" s="117"/>
      <c r="J33" s="116"/>
      <c r="K33" s="113"/>
      <c r="L33" s="115"/>
      <c r="M33" s="115"/>
      <c r="N33" s="113"/>
      <c r="O33" s="115"/>
      <c r="P33" s="113"/>
      <c r="Q33" s="115"/>
      <c r="R33" s="115"/>
      <c r="S33" s="115"/>
      <c r="T33" s="115"/>
      <c r="U33" s="138"/>
      <c r="V33" s="118"/>
      <c r="W33" s="118"/>
      <c r="X33" s="118"/>
      <c r="Y33" s="134"/>
      <c r="Z33" s="119"/>
      <c r="AA33" s="120"/>
    </row>
    <row r="34" spans="1:27" x14ac:dyDescent="0.45">
      <c r="A34" s="113"/>
      <c r="B34" s="145"/>
      <c r="C34" s="113"/>
      <c r="D34" s="145"/>
      <c r="E34" s="114"/>
      <c r="F34" s="114"/>
      <c r="G34" s="115"/>
      <c r="H34" s="116"/>
      <c r="I34" s="117"/>
      <c r="J34" s="116"/>
      <c r="K34" s="113"/>
      <c r="L34" s="115"/>
      <c r="M34" s="115"/>
      <c r="N34" s="113"/>
      <c r="O34" s="115"/>
      <c r="P34" s="113"/>
      <c r="Q34" s="115"/>
      <c r="R34" s="115"/>
      <c r="S34" s="115"/>
      <c r="T34" s="115"/>
      <c r="U34" s="138"/>
      <c r="V34" s="118"/>
      <c r="W34" s="118"/>
      <c r="X34" s="118"/>
      <c r="Y34" s="134"/>
      <c r="Z34" s="119"/>
      <c r="AA34" s="120"/>
    </row>
    <row r="35" spans="1:27" x14ac:dyDescent="0.45">
      <c r="A35" s="113"/>
      <c r="B35" s="145"/>
      <c r="C35" s="113"/>
      <c r="D35" s="145"/>
      <c r="E35" s="114"/>
      <c r="F35" s="114"/>
      <c r="G35" s="115"/>
      <c r="H35" s="116"/>
      <c r="I35" s="117"/>
      <c r="J35" s="116"/>
      <c r="K35" s="113"/>
      <c r="L35" s="115"/>
      <c r="M35" s="115"/>
      <c r="N35" s="113"/>
      <c r="O35" s="115"/>
      <c r="P35" s="113"/>
      <c r="Q35" s="115"/>
      <c r="R35" s="115"/>
      <c r="S35" s="115"/>
      <c r="T35" s="115"/>
      <c r="U35" s="138"/>
      <c r="V35" s="118"/>
      <c r="W35" s="118"/>
      <c r="X35" s="118"/>
      <c r="Y35" s="134"/>
      <c r="Z35" s="119"/>
      <c r="AA35" s="120"/>
    </row>
    <row r="36" spans="1:27" x14ac:dyDescent="0.45">
      <c r="A36" s="113"/>
      <c r="B36" s="145"/>
      <c r="C36" s="113"/>
      <c r="D36" s="145"/>
      <c r="E36" s="114"/>
      <c r="F36" s="114"/>
      <c r="G36" s="115"/>
      <c r="H36" s="116"/>
      <c r="I36" s="117"/>
      <c r="J36" s="116"/>
      <c r="K36" s="113"/>
      <c r="L36" s="115"/>
      <c r="M36" s="115"/>
      <c r="N36" s="113"/>
      <c r="O36" s="115"/>
      <c r="P36" s="113"/>
      <c r="Q36" s="115"/>
      <c r="R36" s="115"/>
      <c r="S36" s="115"/>
      <c r="T36" s="115"/>
      <c r="U36" s="138"/>
      <c r="V36" s="118"/>
      <c r="W36" s="118"/>
      <c r="X36" s="118"/>
      <c r="Y36" s="134"/>
      <c r="Z36" s="119"/>
      <c r="AA36" s="120"/>
    </row>
    <row r="37" spans="1:27" x14ac:dyDescent="0.45">
      <c r="A37" s="113"/>
      <c r="B37" s="145"/>
      <c r="C37" s="113"/>
      <c r="D37" s="145"/>
      <c r="E37" s="114"/>
      <c r="F37" s="114"/>
      <c r="G37" s="115"/>
      <c r="H37" s="116"/>
      <c r="I37" s="117"/>
      <c r="J37" s="116"/>
      <c r="K37" s="113"/>
      <c r="L37" s="115"/>
      <c r="M37" s="115"/>
      <c r="N37" s="113"/>
      <c r="O37" s="115"/>
      <c r="P37" s="113"/>
      <c r="Q37" s="115"/>
      <c r="R37" s="115"/>
      <c r="S37" s="115"/>
      <c r="T37" s="115"/>
      <c r="U37" s="138"/>
      <c r="V37" s="118"/>
      <c r="W37" s="118"/>
      <c r="X37" s="118"/>
      <c r="Y37" s="134"/>
      <c r="Z37" s="119"/>
      <c r="AA37" s="120"/>
    </row>
    <row r="38" spans="1:27" x14ac:dyDescent="0.45">
      <c r="A38" s="113"/>
      <c r="B38" s="145"/>
      <c r="C38" s="113"/>
      <c r="D38" s="145"/>
      <c r="E38" s="114"/>
      <c r="F38" s="114"/>
      <c r="G38" s="115"/>
      <c r="H38" s="116"/>
      <c r="I38" s="117"/>
      <c r="J38" s="116"/>
      <c r="K38" s="113"/>
      <c r="L38" s="115"/>
      <c r="M38" s="115"/>
      <c r="N38" s="113"/>
      <c r="O38" s="115"/>
      <c r="P38" s="113"/>
      <c r="Q38" s="115"/>
      <c r="R38" s="115"/>
      <c r="S38" s="115"/>
      <c r="T38" s="115"/>
      <c r="U38" s="138"/>
      <c r="V38" s="118"/>
      <c r="W38" s="118"/>
      <c r="X38" s="118"/>
      <c r="Y38" s="134"/>
      <c r="Z38" s="119"/>
      <c r="AA38" s="120"/>
    </row>
    <row r="39" spans="1:27" x14ac:dyDescent="0.45">
      <c r="A39" s="113"/>
      <c r="B39" s="145"/>
      <c r="C39" s="113"/>
      <c r="D39" s="145"/>
      <c r="E39" s="114"/>
      <c r="F39" s="114"/>
      <c r="G39" s="115"/>
      <c r="H39" s="116"/>
      <c r="I39" s="117"/>
      <c r="J39" s="116"/>
      <c r="K39" s="113"/>
      <c r="L39" s="115"/>
      <c r="M39" s="115"/>
      <c r="N39" s="113"/>
      <c r="O39" s="115"/>
      <c r="P39" s="113"/>
      <c r="Q39" s="115"/>
      <c r="R39" s="115"/>
      <c r="S39" s="113"/>
      <c r="T39" s="115"/>
      <c r="U39" s="138"/>
      <c r="V39" s="118"/>
      <c r="W39" s="118"/>
      <c r="X39" s="118"/>
      <c r="Y39" s="134"/>
      <c r="Z39" s="119"/>
      <c r="AA39" s="120"/>
    </row>
    <row r="40" spans="1:27" x14ac:dyDescent="0.45">
      <c r="A40" s="113"/>
      <c r="B40" s="145"/>
      <c r="C40" s="113"/>
      <c r="D40" s="145"/>
      <c r="E40" s="114"/>
      <c r="F40" s="114"/>
      <c r="G40" s="115"/>
      <c r="H40" s="116"/>
      <c r="I40" s="117"/>
      <c r="J40" s="116"/>
      <c r="K40" s="113"/>
      <c r="L40" s="115"/>
      <c r="M40" s="115"/>
      <c r="N40" s="113"/>
      <c r="O40" s="115"/>
      <c r="P40" s="113"/>
      <c r="Q40" s="115"/>
      <c r="R40" s="115"/>
      <c r="S40" s="113"/>
      <c r="T40" s="115"/>
      <c r="U40" s="138"/>
      <c r="V40" s="118"/>
      <c r="W40" s="118"/>
      <c r="X40" s="118"/>
      <c r="Y40" s="134"/>
      <c r="Z40" s="119"/>
      <c r="AA40" s="120"/>
    </row>
    <row r="41" spans="1:27" x14ac:dyDescent="0.45">
      <c r="A41" s="113"/>
      <c r="B41" s="145"/>
      <c r="C41" s="113"/>
      <c r="D41" s="145"/>
      <c r="E41" s="114"/>
      <c r="F41" s="114"/>
      <c r="G41" s="115"/>
      <c r="H41" s="116"/>
      <c r="I41" s="117"/>
      <c r="J41" s="116"/>
      <c r="K41" s="113"/>
      <c r="L41" s="115"/>
      <c r="M41" s="115"/>
      <c r="N41" s="113"/>
      <c r="O41" s="115"/>
      <c r="P41" s="113"/>
      <c r="Q41" s="115"/>
      <c r="R41" s="115"/>
      <c r="S41" s="113"/>
      <c r="T41" s="115"/>
      <c r="U41" s="138"/>
      <c r="V41" s="118"/>
      <c r="W41" s="118"/>
      <c r="X41" s="118"/>
      <c r="Y41" s="134"/>
      <c r="Z41" s="119"/>
      <c r="AA41" s="120"/>
    </row>
    <row r="42" spans="1:27" x14ac:dyDescent="0.45">
      <c r="A42" s="113"/>
      <c r="B42" s="145"/>
      <c r="C42" s="113"/>
      <c r="D42" s="145"/>
      <c r="E42" s="114"/>
      <c r="F42" s="114"/>
      <c r="G42" s="115"/>
      <c r="H42" s="116"/>
      <c r="I42" s="117"/>
      <c r="J42" s="116"/>
      <c r="K42" s="113"/>
      <c r="L42" s="115"/>
      <c r="M42" s="115"/>
      <c r="N42" s="113"/>
      <c r="O42" s="115"/>
      <c r="P42" s="113"/>
      <c r="Q42" s="115"/>
      <c r="R42" s="115"/>
      <c r="S42" s="113"/>
      <c r="T42" s="115"/>
      <c r="U42" s="138"/>
      <c r="V42" s="118"/>
      <c r="W42" s="118"/>
      <c r="X42" s="118"/>
      <c r="Y42" s="134"/>
      <c r="Z42" s="119"/>
      <c r="AA42" s="120"/>
    </row>
    <row r="43" spans="1:27" x14ac:dyDescent="0.45">
      <c r="A43" s="113"/>
      <c r="B43" s="145"/>
      <c r="C43" s="113"/>
      <c r="D43" s="145"/>
      <c r="E43" s="114"/>
      <c r="F43" s="114"/>
      <c r="G43" s="115"/>
      <c r="H43" s="116"/>
      <c r="I43" s="117"/>
      <c r="J43" s="116"/>
      <c r="K43" s="113"/>
      <c r="L43" s="115"/>
      <c r="M43" s="115"/>
      <c r="N43" s="113"/>
      <c r="O43" s="115"/>
      <c r="P43" s="113"/>
      <c r="Q43" s="115"/>
      <c r="R43" s="115"/>
      <c r="S43" s="113"/>
      <c r="T43" s="115"/>
      <c r="U43" s="138"/>
      <c r="V43" s="118"/>
      <c r="W43" s="118"/>
      <c r="X43" s="118"/>
      <c r="Y43" s="134"/>
      <c r="Z43" s="119"/>
      <c r="AA43" s="120"/>
    </row>
    <row r="44" spans="1:27" x14ac:dyDescent="0.45">
      <c r="A44" s="113"/>
      <c r="B44" s="145"/>
      <c r="C44" s="113"/>
      <c r="D44" s="145"/>
      <c r="E44" s="114"/>
      <c r="F44" s="114"/>
      <c r="G44" s="115"/>
      <c r="H44" s="116"/>
      <c r="I44" s="117"/>
      <c r="J44" s="116"/>
      <c r="K44" s="113"/>
      <c r="L44" s="115"/>
      <c r="M44" s="115"/>
      <c r="N44" s="113"/>
      <c r="O44" s="115"/>
      <c r="P44" s="113"/>
      <c r="Q44" s="115"/>
      <c r="R44" s="115"/>
      <c r="S44" s="113"/>
      <c r="T44" s="115"/>
      <c r="U44" s="138"/>
      <c r="V44" s="118"/>
      <c r="W44" s="118"/>
      <c r="X44" s="118"/>
      <c r="Y44" s="134"/>
      <c r="Z44" s="119"/>
      <c r="AA44" s="120"/>
    </row>
    <row r="45" spans="1:27" x14ac:dyDescent="0.45">
      <c r="A45" s="113"/>
      <c r="B45" s="145"/>
      <c r="C45" s="113"/>
      <c r="D45" s="145"/>
      <c r="E45" s="114"/>
      <c r="F45" s="114"/>
      <c r="G45" s="115"/>
      <c r="H45" s="116"/>
      <c r="I45" s="117"/>
      <c r="J45" s="116"/>
      <c r="K45" s="113"/>
      <c r="L45" s="115"/>
      <c r="M45" s="115"/>
      <c r="N45" s="113"/>
      <c r="O45" s="115"/>
      <c r="P45" s="113"/>
      <c r="Q45" s="115"/>
      <c r="R45" s="115"/>
      <c r="S45" s="115"/>
      <c r="T45" s="115"/>
      <c r="U45" s="138"/>
      <c r="V45" s="118"/>
      <c r="W45" s="118"/>
      <c r="X45" s="118"/>
      <c r="Y45" s="134"/>
      <c r="Z45" s="119"/>
      <c r="AA45" s="120"/>
    </row>
    <row r="46" spans="1:27" ht="19.5" customHeight="1" x14ac:dyDescent="0.45">
      <c r="A46" s="113"/>
      <c r="B46" s="145"/>
      <c r="C46" s="113"/>
      <c r="D46" s="145"/>
      <c r="E46" s="114"/>
      <c r="F46" s="114"/>
      <c r="G46" s="115"/>
      <c r="H46" s="116"/>
      <c r="I46" s="117"/>
      <c r="J46" s="116"/>
      <c r="K46" s="113"/>
      <c r="L46" s="115"/>
      <c r="M46" s="115"/>
      <c r="N46" s="113"/>
      <c r="O46" s="115"/>
      <c r="P46" s="113"/>
      <c r="Q46" s="115"/>
      <c r="R46" s="115"/>
      <c r="S46" s="115"/>
      <c r="T46" s="115"/>
      <c r="U46" s="138"/>
      <c r="V46" s="118"/>
      <c r="W46" s="118"/>
      <c r="X46" s="118"/>
      <c r="Y46" s="134"/>
      <c r="Z46" s="119"/>
      <c r="AA46" s="120"/>
    </row>
    <row r="47" spans="1:27" x14ac:dyDescent="0.45">
      <c r="A47" s="77"/>
      <c r="B47" s="146"/>
      <c r="C47" s="77"/>
      <c r="D47" s="146"/>
      <c r="E47" s="78"/>
      <c r="F47" s="78"/>
      <c r="G47" s="79"/>
      <c r="H47" s="80"/>
      <c r="I47" s="81"/>
      <c r="J47" s="80"/>
      <c r="K47" s="77"/>
      <c r="L47" s="79"/>
      <c r="M47" s="79"/>
      <c r="N47" s="77"/>
      <c r="O47" s="79"/>
      <c r="P47" s="77"/>
      <c r="Q47" s="79"/>
      <c r="R47" s="79"/>
      <c r="S47" s="79"/>
      <c r="T47" s="79"/>
      <c r="U47" s="139"/>
      <c r="V47" s="82"/>
      <c r="W47" s="82"/>
      <c r="X47" s="82"/>
      <c r="Y47" s="135"/>
      <c r="Z47" s="21"/>
      <c r="AA47" s="22"/>
    </row>
    <row r="48" spans="1:27" x14ac:dyDescent="0.45">
      <c r="A48" s="113"/>
      <c r="B48" s="145"/>
      <c r="C48" s="113"/>
      <c r="D48" s="145"/>
      <c r="E48" s="114"/>
      <c r="F48" s="114"/>
      <c r="G48" s="115"/>
      <c r="H48" s="116"/>
      <c r="I48" s="117"/>
      <c r="J48" s="116"/>
      <c r="K48" s="113"/>
      <c r="L48" s="115"/>
      <c r="M48" s="115"/>
      <c r="N48" s="113"/>
      <c r="O48" s="115"/>
      <c r="P48" s="113"/>
      <c r="Q48" s="115"/>
      <c r="R48" s="115"/>
      <c r="S48" s="115"/>
      <c r="T48" s="115"/>
      <c r="U48" s="138"/>
      <c r="V48" s="118"/>
      <c r="W48" s="118"/>
      <c r="X48" s="118"/>
      <c r="Y48" s="134"/>
      <c r="Z48" s="119"/>
      <c r="AA48" s="120"/>
    </row>
    <row r="93" ht="69.45" customHeight="1" x14ac:dyDescent="0.45"/>
  </sheetData>
  <sheetProtection algorithmName="SHA-512" hashValue="97V2Yiiy24kxomGnaNr3OOgfE0zp1BNmL3R8beE+Te/fvAqvmVUsMPeOEnjCozVxdmbouGHriOp03wkgWFwXLA==" saltValue="WjdGd6MugMtGXur8SnhaVw==" spinCount="100000" sheet="1" formatRows="0" sort="0" autoFilter="0"/>
  <protectedRanges>
    <protectedRange sqref="Y1:AA1" name="词条"/>
    <protectedRange sqref="A3:AA2024" name="区域1"/>
  </protectedRanges>
  <autoFilter ref="A2:R29" xr:uid="{00000000-0001-0000-0000-000000000000}"/>
  <dataConsolidate/>
  <mergeCells count="1">
    <mergeCell ref="Y1:AA1"/>
  </mergeCells>
  <phoneticPr fontId="1" type="noConversion"/>
  <conditionalFormatting sqref="A3:AA10000">
    <cfRule type="expression" dxfId="1" priority="84">
      <formula>OR($A2&lt;&gt;"",$A3&lt;&gt;"")</formula>
    </cfRule>
    <cfRule type="expression" dxfId="0" priority="85">
      <formula>OR(AND($AE3&gt;0,$AE3&lt;&gt;"不适用"),$AE3="已终止")</formula>
    </cfRule>
  </conditionalFormatting>
  <dataValidations count="8">
    <dataValidation type="date" allowBlank="1" showInputMessage="1" showErrorMessage="1" sqref="H1" xr:uid="{C15DB91D-74BC-4B13-AABF-BE05D147EC48}">
      <formula1>29221</formula1>
      <formula2>109575</formula2>
    </dataValidation>
    <dataValidation type="list" allowBlank="1" showInputMessage="1" showErrorMessage="1" sqref="C3:C2024" xr:uid="{6F8CE6FC-FC5F-4D5E-8BDC-8180F2DA7F34}">
      <formula1>"医疗险,重疾险,终身寿险,定期寿险,增额终身寿,年金保险,万能账户,投资连结险,意外伤害,意外医疗,其它"</formula1>
    </dataValidation>
    <dataValidation type="whole" allowBlank="1" showInputMessage="1" showErrorMessage="1" sqref="E3:F2024" xr:uid="{ADDCE1B4-4C23-4586-9B23-D69BE14C4774}">
      <formula1>0</formula1>
      <formula2>10000000000</formula2>
    </dataValidation>
    <dataValidation type="date" allowBlank="1" showInputMessage="1" showErrorMessage="1" sqref="H3:H2024" xr:uid="{433C7857-01B9-4BC6-BD05-19BB806DDB7A}">
      <formula1>29221</formula1>
      <formula2>146099</formula2>
    </dataValidation>
    <dataValidation type="whole" allowBlank="1" showInputMessage="1" showErrorMessage="1" sqref="I3:I2024" xr:uid="{DCFF844B-6DB7-493F-B128-A3024AAF9D29}">
      <formula1>1</formula1>
      <formula2>200</formula2>
    </dataValidation>
    <dataValidation type="date" allowBlank="1" showInputMessage="1" showErrorMessage="1" sqref="J3:J2024" xr:uid="{2EBE0D2E-5CE6-4CE3-A404-457F59993D2F}">
      <formula1>1</formula1>
      <formula2>146099</formula2>
    </dataValidation>
    <dataValidation type="list" allowBlank="1" showInputMessage="1" showErrorMessage="1" sqref="Z3:Z2024" xr:uid="{AB8FCB47-EF1E-4862-A03D-30E5C537B41B}">
      <formula1>"已缴费,合同已终止,待确定"</formula1>
    </dataValidation>
    <dataValidation type="list" allowBlank="1" showInputMessage="1" showErrorMessage="1" sqref="AA3:AA2024" xr:uid="{EF2609F0-6CFB-4EEB-8436-8283D8754E30}">
      <formula1>"2024,2025,2026,2027,2028,2029,2030"</formula1>
    </dataValidation>
  </dataValidations>
  <pageMargins left="0.25" right="0.25" top="0.75" bottom="0.75" header="0.3" footer="0.3"/>
  <pageSetup paperSize="9" scale="26" orientation="landscape" horizontalDpi="360" verticalDpi="360" r:id="rId1"/>
  <ignoredErrors>
    <ignoredError sqref="L3:L5" numberStoredAsText="1"/>
  </ignoredError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4</vt:i4>
      </vt:variant>
    </vt:vector>
  </HeadingPairs>
  <TitlesOfParts>
    <vt:vector size="8" baseType="lpstr">
      <vt:lpstr>家庭概览</vt:lpstr>
      <vt:lpstr>个人信息</vt:lpstr>
      <vt:lpstr>到期提醒</vt:lpstr>
      <vt:lpstr>保单录入</vt:lpstr>
      <vt:lpstr>到期提醒!Print_Area</vt:lpstr>
      <vt:lpstr>个人信息!Print_Area</vt:lpstr>
      <vt:lpstr>家庭概览!Print_Area</vt:lpstr>
      <vt:lpstr>唯一家庭</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Charlie</dc:creator>
  <cp:lastModifiedBy>赐文 张</cp:lastModifiedBy>
  <cp:lastPrinted>2025-10-31T04:41:15Z</cp:lastPrinted>
  <dcterms:created xsi:type="dcterms:W3CDTF">2015-06-05T18:19:34Z</dcterms:created>
  <dcterms:modified xsi:type="dcterms:W3CDTF">2025-11-03T07:03:49Z</dcterms:modified>
</cp:coreProperties>
</file>